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akond\Merit\Eelarve täitmine\2019\"/>
    </mc:Choice>
  </mc:AlternateContent>
  <bookViews>
    <workbookView xWindow="360" yWindow="180" windowWidth="23250" windowHeight="14055"/>
  </bookViews>
  <sheets>
    <sheet name="Poolaasta eelarve täitmine" sheetId="4" r:id="rId1"/>
    <sheet name="Poolaasta investeeringud" sheetId="3" r:id="rId2"/>
  </sheets>
  <definedNames>
    <definedName name="_xlnm._FilterDatabase" localSheetId="1" hidden="1">'Poolaasta investeeringud'!$A$3:$O$246</definedName>
  </definedNames>
  <calcPr calcId="162913"/>
</workbook>
</file>

<file path=xl/calcChain.xml><?xml version="1.0" encoding="utf-8"?>
<calcChain xmlns="http://schemas.openxmlformats.org/spreadsheetml/2006/main">
  <c r="E32" i="4" l="1"/>
  <c r="E31" i="4"/>
  <c r="D31" i="4"/>
  <c r="H61" i="4"/>
  <c r="I61" i="4" s="1"/>
  <c r="F61" i="4"/>
  <c r="H60" i="4"/>
  <c r="I60" i="4" s="1"/>
  <c r="H59" i="4"/>
  <c r="I59" i="4" s="1"/>
  <c r="H58" i="4"/>
  <c r="I58" i="4" s="1"/>
  <c r="F58" i="4"/>
  <c r="H57" i="4"/>
  <c r="I57" i="4" s="1"/>
  <c r="F57" i="4"/>
  <c r="H56" i="4"/>
  <c r="I56" i="4" s="1"/>
  <c r="F55" i="4"/>
  <c r="F54" i="4"/>
  <c r="H54" i="4"/>
  <c r="I54" i="4" s="1"/>
  <c r="H53" i="4"/>
  <c r="I53" i="4" s="1"/>
  <c r="F53" i="4"/>
  <c r="D52" i="4"/>
  <c r="F50" i="4"/>
  <c r="H48" i="4"/>
  <c r="I48" i="4" s="1"/>
  <c r="H47" i="4"/>
  <c r="I47" i="4" s="1"/>
  <c r="H46" i="4"/>
  <c r="D45" i="4"/>
  <c r="E45" i="4"/>
  <c r="H44" i="4"/>
  <c r="H43" i="4"/>
  <c r="D41" i="4"/>
  <c r="H42" i="4"/>
  <c r="H38" i="4"/>
  <c r="I38" i="4" s="1"/>
  <c r="H37" i="4"/>
  <c r="I37" i="4" s="1"/>
  <c r="F37" i="4"/>
  <c r="F35" i="4"/>
  <c r="H35" i="4"/>
  <c r="I35" i="4" s="1"/>
  <c r="H34" i="4"/>
  <c r="F34" i="4"/>
  <c r="D32" i="4"/>
  <c r="F32" i="4" s="1"/>
  <c r="H28" i="4"/>
  <c r="I28" i="4" s="1"/>
  <c r="F27" i="4"/>
  <c r="H27" i="4"/>
  <c r="H26" i="4"/>
  <c r="I26" i="4" s="1"/>
  <c r="F26" i="4"/>
  <c r="H25" i="4"/>
  <c r="I25" i="4" s="1"/>
  <c r="D24" i="4"/>
  <c r="H23" i="4"/>
  <c r="F23" i="4"/>
  <c r="F21" i="4"/>
  <c r="H21" i="4"/>
  <c r="I21" i="4" s="1"/>
  <c r="F20" i="4"/>
  <c r="H20" i="4"/>
  <c r="I20" i="4" s="1"/>
  <c r="H19" i="4"/>
  <c r="I19" i="4" s="1"/>
  <c r="F18" i="4"/>
  <c r="H18" i="4"/>
  <c r="I18" i="4" s="1"/>
  <c r="D17" i="4"/>
  <c r="E17" i="4"/>
  <c r="H16" i="4"/>
  <c r="I16" i="4" s="1"/>
  <c r="H15" i="4"/>
  <c r="I15" i="4" s="1"/>
  <c r="F15" i="4"/>
  <c r="H14" i="4"/>
  <c r="I14" i="4" s="1"/>
  <c r="D13" i="4"/>
  <c r="F12" i="4"/>
  <c r="H12" i="4"/>
  <c r="I12" i="4" s="1"/>
  <c r="F11" i="4"/>
  <c r="F10" i="4"/>
  <c r="H10" i="4"/>
  <c r="I10" i="4" s="1"/>
  <c r="F9" i="4"/>
  <c r="H8" i="4"/>
  <c r="I8" i="4" s="1"/>
  <c r="H7" i="4"/>
  <c r="I7" i="4" s="1"/>
  <c r="E6" i="4"/>
  <c r="D6" i="4"/>
  <c r="D5" i="4" s="1"/>
  <c r="F45" i="4" l="1"/>
  <c r="D40" i="4"/>
  <c r="F31" i="4"/>
  <c r="F17" i="4"/>
  <c r="I27" i="4"/>
  <c r="H24" i="4"/>
  <c r="I24" i="4" s="1"/>
  <c r="H6" i="4"/>
  <c r="I6" i="4" s="1"/>
  <c r="F6" i="4"/>
  <c r="F14" i="4"/>
  <c r="H17" i="4"/>
  <c r="I17" i="4" s="1"/>
  <c r="D22" i="4"/>
  <c r="F28" i="4"/>
  <c r="E52" i="4"/>
  <c r="F52" i="4" s="1"/>
  <c r="H11" i="4"/>
  <c r="I11" i="4" s="1"/>
  <c r="I23" i="4"/>
  <c r="F25" i="4"/>
  <c r="E30" i="4"/>
  <c r="F33" i="4"/>
  <c r="H36" i="4"/>
  <c r="I36" i="4" s="1"/>
  <c r="H45" i="4"/>
  <c r="I45" i="4" s="1"/>
  <c r="F47" i="4"/>
  <c r="H55" i="4"/>
  <c r="I55" i="4" s="1"/>
  <c r="F60" i="4"/>
  <c r="H9" i="4"/>
  <c r="I9" i="4" s="1"/>
  <c r="F19" i="4"/>
  <c r="D30" i="4"/>
  <c r="F36" i="4"/>
  <c r="F8" i="4"/>
  <c r="E13" i="4"/>
  <c r="E5" i="4" s="1"/>
  <c r="F16" i="4"/>
  <c r="H33" i="4"/>
  <c r="H31" i="4" s="1"/>
  <c r="E41" i="4"/>
  <c r="I34" i="4"/>
  <c r="E24" i="4"/>
  <c r="F7" i="4"/>
  <c r="F38" i="4"/>
  <c r="F59" i="4"/>
  <c r="F46" i="4"/>
  <c r="F56" i="4"/>
  <c r="H32" i="4" l="1"/>
  <c r="D29" i="4"/>
  <c r="D39" i="4" s="1"/>
  <c r="H22" i="4"/>
  <c r="I22" i="4" s="1"/>
  <c r="H5" i="4"/>
  <c r="F5" i="4"/>
  <c r="F24" i="4"/>
  <c r="E22" i="4"/>
  <c r="E49" i="4" s="1"/>
  <c r="H13" i="4"/>
  <c r="I13" i="4" s="1"/>
  <c r="F13" i="4"/>
  <c r="F30" i="4"/>
  <c r="E40" i="4"/>
  <c r="H41" i="4"/>
  <c r="F41" i="4"/>
  <c r="H52" i="4"/>
  <c r="I52" i="4" s="1"/>
  <c r="I33" i="4"/>
  <c r="D49" i="4"/>
  <c r="I32" i="4"/>
  <c r="N208" i="3"/>
  <c r="H49" i="4" l="1"/>
  <c r="I49" i="4" s="1"/>
  <c r="F49" i="4"/>
  <c r="H30" i="4"/>
  <c r="I30" i="4" s="1"/>
  <c r="I31" i="4"/>
  <c r="F22" i="4"/>
  <c r="H29" i="4"/>
  <c r="I5" i="4"/>
  <c r="F40" i="4"/>
  <c r="H40" i="4"/>
  <c r="I40" i="4" s="1"/>
  <c r="E29" i="4"/>
  <c r="N201" i="3"/>
  <c r="N200" i="3"/>
  <c r="N197" i="3"/>
  <c r="H39" i="4" l="1"/>
  <c r="I39" i="4" s="1"/>
  <c r="I29" i="4"/>
  <c r="F29" i="4"/>
  <c r="E39" i="4"/>
  <c r="F39" i="4" s="1"/>
  <c r="H185" i="3"/>
  <c r="I185" i="3"/>
  <c r="J185" i="3"/>
  <c r="K185" i="3"/>
  <c r="L185" i="3"/>
  <c r="M185" i="3"/>
  <c r="H171" i="3"/>
  <c r="I171" i="3"/>
  <c r="J171" i="3"/>
  <c r="K171" i="3"/>
  <c r="L171" i="3"/>
  <c r="M171" i="3"/>
  <c r="J160" i="3"/>
  <c r="L160" i="3"/>
  <c r="M160" i="3"/>
  <c r="H157" i="3"/>
  <c r="I157" i="3"/>
  <c r="J157" i="3"/>
  <c r="K157" i="3"/>
  <c r="L157" i="3"/>
  <c r="M157" i="3"/>
  <c r="J142" i="3"/>
  <c r="K142" i="3"/>
  <c r="L142" i="3"/>
  <c r="M142" i="3"/>
  <c r="J129" i="3"/>
  <c r="K129" i="3"/>
  <c r="L129" i="3"/>
  <c r="M129" i="3"/>
  <c r="H122" i="3"/>
  <c r="I122" i="3"/>
  <c r="J122" i="3"/>
  <c r="K122" i="3"/>
  <c r="L122" i="3"/>
  <c r="M122" i="3"/>
  <c r="H107" i="3"/>
  <c r="I107" i="3"/>
  <c r="J107" i="3"/>
  <c r="K107" i="3"/>
  <c r="L107" i="3"/>
  <c r="M107" i="3"/>
  <c r="H96" i="3"/>
  <c r="I96" i="3"/>
  <c r="J96" i="3"/>
  <c r="K96" i="3"/>
  <c r="L96" i="3"/>
  <c r="M96" i="3"/>
  <c r="H88" i="3"/>
  <c r="I88" i="3"/>
  <c r="J88" i="3"/>
  <c r="K88" i="3"/>
  <c r="L88" i="3"/>
  <c r="M88" i="3"/>
  <c r="M84" i="3" s="1"/>
  <c r="H70" i="3"/>
  <c r="I70" i="3"/>
  <c r="J70" i="3"/>
  <c r="K70" i="3"/>
  <c r="L70" i="3"/>
  <c r="M70" i="3"/>
  <c r="H59" i="3"/>
  <c r="I59" i="3"/>
  <c r="J59" i="3"/>
  <c r="K59" i="3"/>
  <c r="L59" i="3"/>
  <c r="M59" i="3"/>
  <c r="H55" i="3"/>
  <c r="I55" i="3"/>
  <c r="J55" i="3"/>
  <c r="K55" i="3"/>
  <c r="L55" i="3"/>
  <c r="M55" i="3"/>
  <c r="H47" i="3"/>
  <c r="I47" i="3"/>
  <c r="J47" i="3"/>
  <c r="K47" i="3"/>
  <c r="L47" i="3"/>
  <c r="M47" i="3"/>
  <c r="H44" i="3"/>
  <c r="I44" i="3"/>
  <c r="J44" i="3"/>
  <c r="K44" i="3"/>
  <c r="M44" i="3"/>
  <c r="H30" i="3"/>
  <c r="I30" i="3"/>
  <c r="J30" i="3"/>
  <c r="K30" i="3"/>
  <c r="M30" i="3"/>
  <c r="H22" i="3"/>
  <c r="I22" i="3"/>
  <c r="J22" i="3"/>
  <c r="K22" i="3"/>
  <c r="L22" i="3"/>
  <c r="M22" i="3"/>
  <c r="H75" i="3"/>
  <c r="I75" i="3"/>
  <c r="J75" i="3"/>
  <c r="K75" i="3"/>
  <c r="L75" i="3"/>
  <c r="M75" i="3"/>
  <c r="K95" i="3" l="1"/>
  <c r="J95" i="3"/>
  <c r="I95" i="3"/>
  <c r="L95" i="3"/>
  <c r="M95" i="3"/>
  <c r="H95" i="3"/>
  <c r="G139" i="3"/>
  <c r="N139" i="3" s="1"/>
  <c r="G136" i="3"/>
  <c r="N136" i="3" s="1"/>
  <c r="G82" i="3"/>
  <c r="G19" i="3"/>
  <c r="M240" i="3"/>
  <c r="M233" i="3"/>
  <c r="M221" i="3"/>
  <c r="M216" i="3"/>
  <c r="M209" i="3"/>
  <c r="M199" i="3"/>
  <c r="M189" i="3"/>
  <c r="M182" i="3"/>
  <c r="M14" i="3"/>
  <c r="M13" i="3" s="1"/>
  <c r="M9" i="3"/>
  <c r="M8" i="3"/>
  <c r="M7" i="3" s="1"/>
  <c r="M6" i="3"/>
  <c r="K6" i="3"/>
  <c r="K8" i="3"/>
  <c r="K7" i="3" s="1"/>
  <c r="K9" i="3"/>
  <c r="K14" i="3"/>
  <c r="K26" i="3"/>
  <c r="K85" i="3"/>
  <c r="K84" i="3" s="1"/>
  <c r="K150" i="3"/>
  <c r="K163" i="3"/>
  <c r="K164" i="3"/>
  <c r="K182" i="3"/>
  <c r="K189" i="3"/>
  <c r="K199" i="3"/>
  <c r="K209" i="3"/>
  <c r="K216" i="3"/>
  <c r="K221" i="3"/>
  <c r="K233" i="3"/>
  <c r="K240" i="3"/>
  <c r="K161" i="3" l="1"/>
  <c r="K160" i="3" s="1"/>
  <c r="K128" i="3" s="1"/>
  <c r="K13" i="3"/>
  <c r="M229" i="3"/>
  <c r="K188" i="3"/>
  <c r="K229" i="3"/>
  <c r="K29" i="3"/>
  <c r="G174" i="3"/>
  <c r="G179" i="3" l="1"/>
  <c r="M150" i="3"/>
  <c r="M128" i="3" s="1"/>
  <c r="J150" i="3"/>
  <c r="L150" i="3"/>
  <c r="G156" i="3"/>
  <c r="F155" i="3"/>
  <c r="N156" i="3" l="1"/>
  <c r="G178" i="3"/>
  <c r="N178" i="3" s="1"/>
  <c r="L45" i="3"/>
  <c r="L44" i="3" s="1"/>
  <c r="L32" i="3"/>
  <c r="L30" i="3" s="1"/>
  <c r="F32" i="3"/>
  <c r="F158" i="3" l="1"/>
  <c r="F82" i="3"/>
  <c r="F15" i="3"/>
  <c r="G147" i="3" l="1"/>
  <c r="N147" i="3" s="1"/>
  <c r="G120" i="3"/>
  <c r="N120" i="3" s="1"/>
  <c r="G81" i="3"/>
  <c r="G78" i="3"/>
  <c r="G77" i="3"/>
  <c r="G61" i="3"/>
  <c r="G62" i="3"/>
  <c r="G63" i="3"/>
  <c r="G54" i="3"/>
  <c r="G20" i="3"/>
  <c r="G206" i="3"/>
  <c r="N206" i="3" s="1"/>
  <c r="G235" i="3"/>
  <c r="G244" i="3"/>
  <c r="N244" i="3" s="1"/>
  <c r="G237" i="3"/>
  <c r="G238" i="3"/>
  <c r="L240" i="3"/>
  <c r="L233" i="3"/>
  <c r="L221" i="3"/>
  <c r="L216" i="3"/>
  <c r="L209" i="3"/>
  <c r="L199" i="3"/>
  <c r="L189" i="3"/>
  <c r="L182" i="3"/>
  <c r="L128" i="3" s="1"/>
  <c r="L85" i="3"/>
  <c r="L84" i="3" s="1"/>
  <c r="L14" i="3"/>
  <c r="L13" i="3" l="1"/>
  <c r="L229" i="3"/>
  <c r="F198" i="3"/>
  <c r="F195" i="3"/>
  <c r="F190" i="3"/>
  <c r="F203" i="3"/>
  <c r="F204" i="3"/>
  <c r="F224" i="3"/>
  <c r="F223" i="3"/>
  <c r="F237" i="3"/>
  <c r="F245" i="3"/>
  <c r="F243" i="3"/>
  <c r="F199" i="3" l="1"/>
  <c r="F179" i="3"/>
  <c r="N179" i="3" s="1"/>
  <c r="F168" i="3"/>
  <c r="F144" i="3"/>
  <c r="F186" i="3"/>
  <c r="F133" i="3"/>
  <c r="F115" i="3"/>
  <c r="F99" i="3"/>
  <c r="F79" i="3"/>
  <c r="F45" i="3"/>
  <c r="F42" i="3"/>
  <c r="F38" i="3"/>
  <c r="F37" i="3"/>
  <c r="F35" i="3"/>
  <c r="F33" i="3"/>
  <c r="F36" i="3"/>
  <c r="F31" i="3"/>
  <c r="L9" i="3"/>
  <c r="L8" i="3"/>
  <c r="L7" i="3" s="1"/>
  <c r="L6" i="3"/>
  <c r="G80" i="3" l="1"/>
  <c r="G79" i="3"/>
  <c r="H85" i="3" l="1"/>
  <c r="H84" i="3" s="1"/>
  <c r="I85" i="3"/>
  <c r="I84" i="3" s="1"/>
  <c r="J85" i="3"/>
  <c r="J84" i="3" s="1"/>
  <c r="L29" i="3"/>
  <c r="M29" i="3"/>
  <c r="J29" i="3" l="1"/>
  <c r="H29" i="3"/>
  <c r="I29" i="3"/>
  <c r="H240" i="3"/>
  <c r="I240" i="3"/>
  <c r="J240" i="3"/>
  <c r="H233" i="3"/>
  <c r="I233" i="3"/>
  <c r="J233" i="3"/>
  <c r="H221" i="3"/>
  <c r="I221" i="3"/>
  <c r="J221" i="3"/>
  <c r="H216" i="3"/>
  <c r="I216" i="3"/>
  <c r="J216" i="3"/>
  <c r="H209" i="3"/>
  <c r="I209" i="3"/>
  <c r="J209" i="3"/>
  <c r="H199" i="3"/>
  <c r="I199" i="3"/>
  <c r="J199" i="3"/>
  <c r="H189" i="3"/>
  <c r="I189" i="3"/>
  <c r="J189" i="3"/>
  <c r="H182" i="3"/>
  <c r="I182" i="3"/>
  <c r="J182" i="3"/>
  <c r="J128" i="3" s="1"/>
  <c r="H9" i="3"/>
  <c r="I9" i="3"/>
  <c r="J9" i="3"/>
  <c r="H8" i="3"/>
  <c r="I8" i="3"/>
  <c r="J8" i="3"/>
  <c r="H6" i="3"/>
  <c r="I6" i="3"/>
  <c r="J6" i="3"/>
  <c r="H26" i="3"/>
  <c r="I26" i="3"/>
  <c r="J26" i="3"/>
  <c r="L26" i="3"/>
  <c r="M26" i="3"/>
  <c r="H14" i="3"/>
  <c r="I14" i="3"/>
  <c r="J14" i="3"/>
  <c r="G175" i="3"/>
  <c r="I229" i="3" l="1"/>
  <c r="J229" i="3"/>
  <c r="I13" i="3"/>
  <c r="J13" i="3"/>
  <c r="H13" i="3"/>
  <c r="G138" i="3" l="1"/>
  <c r="N138" i="3" s="1"/>
  <c r="N102" i="3"/>
  <c r="N103" i="3"/>
  <c r="G173" i="3" l="1"/>
  <c r="N173" i="3" s="1"/>
  <c r="G155" i="3" l="1"/>
  <c r="N212" i="3"/>
  <c r="N213" i="3"/>
  <c r="F60" i="3" l="1"/>
  <c r="G104" i="3" l="1"/>
  <c r="N104" i="3" s="1"/>
  <c r="N196" i="3"/>
  <c r="G203" i="3" l="1"/>
  <c r="G168" i="3"/>
  <c r="F241" i="3" l="1"/>
  <c r="F97" i="3"/>
  <c r="F80" i="3"/>
  <c r="H161" i="3" l="1"/>
  <c r="I161" i="3"/>
  <c r="I160" i="3" s="1"/>
  <c r="J188" i="3" l="1"/>
  <c r="L188" i="3"/>
  <c r="M188" i="3"/>
  <c r="N193" i="3" l="1"/>
  <c r="G205" i="3" l="1"/>
  <c r="N205" i="3" s="1"/>
  <c r="G198" i="3" l="1"/>
  <c r="N198" i="3" s="1"/>
  <c r="G186" i="3"/>
  <c r="G185" i="3" s="1"/>
  <c r="N186" i="3" l="1"/>
  <c r="F185" i="3"/>
  <c r="N185" i="3" l="1"/>
  <c r="I130" i="3" l="1"/>
  <c r="I129" i="3" s="1"/>
  <c r="I143" i="3"/>
  <c r="I142" i="3" s="1"/>
  <c r="G153" i="3"/>
  <c r="N153" i="3" s="1"/>
  <c r="G154" i="3"/>
  <c r="N154" i="3" s="1"/>
  <c r="N155" i="3"/>
  <c r="G242" i="3"/>
  <c r="N242" i="3" s="1"/>
  <c r="G243" i="3"/>
  <c r="N243" i="3" s="1"/>
  <c r="G245" i="3"/>
  <c r="N245" i="3" s="1"/>
  <c r="N241" i="3"/>
  <c r="G234" i="3"/>
  <c r="G233" i="3" s="1"/>
  <c r="G223" i="3"/>
  <c r="N223" i="3" s="1"/>
  <c r="N224" i="3"/>
  <c r="N225" i="3"/>
  <c r="G226" i="3"/>
  <c r="N226" i="3" s="1"/>
  <c r="G227" i="3"/>
  <c r="N227" i="3" s="1"/>
  <c r="G222" i="3"/>
  <c r="N222" i="3" s="1"/>
  <c r="G218" i="3"/>
  <c r="N218" i="3" s="1"/>
  <c r="G217" i="3"/>
  <c r="G211" i="3"/>
  <c r="N211" i="3" s="1"/>
  <c r="G214" i="3"/>
  <c r="N214" i="3" s="1"/>
  <c r="G210" i="3"/>
  <c r="N210" i="3" s="1"/>
  <c r="G202" i="3"/>
  <c r="G199" i="3" s="1"/>
  <c r="N199" i="3" s="1"/>
  <c r="N191" i="3"/>
  <c r="N192" i="3"/>
  <c r="N194" i="3"/>
  <c r="G195" i="3"/>
  <c r="N195" i="3" s="1"/>
  <c r="G190" i="3"/>
  <c r="G183" i="3"/>
  <c r="N183" i="3" s="1"/>
  <c r="N174" i="3"/>
  <c r="G176" i="3"/>
  <c r="N176" i="3" s="1"/>
  <c r="G180" i="3"/>
  <c r="N180" i="3" s="1"/>
  <c r="G172" i="3"/>
  <c r="G162" i="3"/>
  <c r="G163" i="3"/>
  <c r="N163" i="3" s="1"/>
  <c r="N164" i="3"/>
  <c r="G165" i="3"/>
  <c r="N165" i="3" s="1"/>
  <c r="G166" i="3"/>
  <c r="N166" i="3" s="1"/>
  <c r="N168" i="3"/>
  <c r="G169" i="3"/>
  <c r="G158" i="3"/>
  <c r="G144" i="3"/>
  <c r="N144" i="3" s="1"/>
  <c r="G145" i="3"/>
  <c r="N145" i="3" s="1"/>
  <c r="G146" i="3"/>
  <c r="N146" i="3" s="1"/>
  <c r="G148" i="3"/>
  <c r="N148" i="3" s="1"/>
  <c r="G131" i="3"/>
  <c r="N131" i="3" s="1"/>
  <c r="G132" i="3"/>
  <c r="N132" i="3" s="1"/>
  <c r="G133" i="3"/>
  <c r="N133" i="3" s="1"/>
  <c r="G134" i="3"/>
  <c r="N134" i="3" s="1"/>
  <c r="G135" i="3"/>
  <c r="N135" i="3" s="1"/>
  <c r="G137" i="3"/>
  <c r="N137" i="3" s="1"/>
  <c r="G140" i="3"/>
  <c r="N140" i="3" s="1"/>
  <c r="G124" i="3"/>
  <c r="N124" i="3" s="1"/>
  <c r="G125" i="3"/>
  <c r="N125" i="3" s="1"/>
  <c r="G126" i="3"/>
  <c r="N126" i="3" s="1"/>
  <c r="G123" i="3"/>
  <c r="N123" i="3" s="1"/>
  <c r="G109" i="3"/>
  <c r="N109" i="3" s="1"/>
  <c r="G110" i="3"/>
  <c r="N110" i="3" s="1"/>
  <c r="G111" i="3"/>
  <c r="G112" i="3"/>
  <c r="N112" i="3" s="1"/>
  <c r="G113" i="3"/>
  <c r="N113" i="3" s="1"/>
  <c r="G114" i="3"/>
  <c r="N114" i="3" s="1"/>
  <c r="G115" i="3"/>
  <c r="N115" i="3" s="1"/>
  <c r="G116" i="3"/>
  <c r="N116" i="3" s="1"/>
  <c r="G117" i="3"/>
  <c r="N117" i="3" s="1"/>
  <c r="G118" i="3"/>
  <c r="N118" i="3" s="1"/>
  <c r="G119" i="3"/>
  <c r="N119" i="3" s="1"/>
  <c r="G108" i="3"/>
  <c r="N108" i="3" s="1"/>
  <c r="G98" i="3"/>
  <c r="N98" i="3" s="1"/>
  <c r="G99" i="3"/>
  <c r="N99" i="3" s="1"/>
  <c r="G100" i="3"/>
  <c r="N100" i="3" s="1"/>
  <c r="G101" i="3"/>
  <c r="N101" i="3" s="1"/>
  <c r="G90" i="3"/>
  <c r="N90" i="3" s="1"/>
  <c r="G91" i="3"/>
  <c r="N91" i="3" s="1"/>
  <c r="G92" i="3"/>
  <c r="N92" i="3" s="1"/>
  <c r="G93" i="3"/>
  <c r="N93" i="3" s="1"/>
  <c r="G89" i="3"/>
  <c r="G86" i="3"/>
  <c r="N86" i="3" s="1"/>
  <c r="N77" i="3"/>
  <c r="N82" i="3"/>
  <c r="N76" i="3"/>
  <c r="G72" i="3"/>
  <c r="N72" i="3" s="1"/>
  <c r="G73" i="3"/>
  <c r="N73" i="3" s="1"/>
  <c r="G71" i="3"/>
  <c r="N71" i="3" s="1"/>
  <c r="G69" i="3"/>
  <c r="G64" i="3"/>
  <c r="N64" i="3" s="1"/>
  <c r="G65" i="3"/>
  <c r="G60" i="3"/>
  <c r="G57" i="3"/>
  <c r="N57" i="3" s="1"/>
  <c r="G58" i="3"/>
  <c r="G56" i="3"/>
  <c r="G49" i="3"/>
  <c r="N49" i="3" s="1"/>
  <c r="G50" i="3"/>
  <c r="G51" i="3"/>
  <c r="N51" i="3" s="1"/>
  <c r="G52" i="3"/>
  <c r="N52" i="3" s="1"/>
  <c r="G53" i="3"/>
  <c r="N53" i="3" s="1"/>
  <c r="G48" i="3"/>
  <c r="N48" i="3" s="1"/>
  <c r="G45" i="3"/>
  <c r="G44" i="3" s="1"/>
  <c r="G31" i="3"/>
  <c r="N31" i="3" s="1"/>
  <c r="G27" i="3"/>
  <c r="N27" i="3" s="1"/>
  <c r="G33" i="3"/>
  <c r="N33" i="3" s="1"/>
  <c r="G34" i="3"/>
  <c r="N34" i="3" s="1"/>
  <c r="G35" i="3"/>
  <c r="N35" i="3" s="1"/>
  <c r="G36" i="3"/>
  <c r="N36" i="3" s="1"/>
  <c r="G37" i="3"/>
  <c r="N37" i="3" s="1"/>
  <c r="G38" i="3"/>
  <c r="N38" i="3" s="1"/>
  <c r="G39" i="3"/>
  <c r="N39" i="3" s="1"/>
  <c r="G40" i="3"/>
  <c r="N40" i="3" s="1"/>
  <c r="G41" i="3"/>
  <c r="N41" i="3" s="1"/>
  <c r="G42" i="3"/>
  <c r="N42" i="3" s="1"/>
  <c r="G32" i="3"/>
  <c r="N32" i="3" s="1"/>
  <c r="G23" i="3"/>
  <c r="N23" i="3" s="1"/>
  <c r="G17" i="3"/>
  <c r="G18" i="3"/>
  <c r="N18" i="3" s="1"/>
  <c r="G21" i="3"/>
  <c r="G16" i="3"/>
  <c r="F240" i="3"/>
  <c r="E240" i="3"/>
  <c r="F233" i="3"/>
  <c r="E233" i="3"/>
  <c r="G231" i="3"/>
  <c r="G230" i="3" s="1"/>
  <c r="H230" i="3"/>
  <c r="H229" i="3" s="1"/>
  <c r="F230" i="3"/>
  <c r="E230" i="3"/>
  <c r="F221" i="3"/>
  <c r="E221" i="3"/>
  <c r="F216" i="3"/>
  <c r="E216" i="3"/>
  <c r="F209" i="3"/>
  <c r="E209" i="3"/>
  <c r="N207" i="3"/>
  <c r="N204" i="3"/>
  <c r="N203" i="3"/>
  <c r="E199" i="3"/>
  <c r="H188" i="3"/>
  <c r="F189" i="3"/>
  <c r="E189" i="3"/>
  <c r="F182" i="3"/>
  <c r="E182" i="3"/>
  <c r="F171" i="3"/>
  <c r="E171" i="3"/>
  <c r="H167" i="3"/>
  <c r="H160" i="3" s="1"/>
  <c r="F167" i="3"/>
  <c r="E167" i="3"/>
  <c r="F161" i="3"/>
  <c r="E161" i="3"/>
  <c r="F157" i="3"/>
  <c r="E157" i="3"/>
  <c r="F151" i="3"/>
  <c r="F150" i="3" s="1"/>
  <c r="E151" i="3"/>
  <c r="E150" i="3" s="1"/>
  <c r="H143" i="3"/>
  <c r="H142" i="3" s="1"/>
  <c r="F143" i="3"/>
  <c r="F142" i="3" s="1"/>
  <c r="E143" i="3"/>
  <c r="E142" i="3" s="1"/>
  <c r="H130" i="3"/>
  <c r="H129" i="3" s="1"/>
  <c r="F130" i="3"/>
  <c r="F129" i="3" s="1"/>
  <c r="E130" i="3"/>
  <c r="E129" i="3" s="1"/>
  <c r="F122" i="3"/>
  <c r="E122" i="3"/>
  <c r="F107" i="3"/>
  <c r="E107" i="3"/>
  <c r="F96" i="3"/>
  <c r="E96" i="3"/>
  <c r="F88" i="3"/>
  <c r="E88" i="3"/>
  <c r="F85" i="3"/>
  <c r="E85" i="3"/>
  <c r="N80" i="3"/>
  <c r="N79" i="3"/>
  <c r="F75" i="3"/>
  <c r="E75" i="3"/>
  <c r="F70" i="3"/>
  <c r="E70" i="3"/>
  <c r="F67" i="3"/>
  <c r="E67" i="3"/>
  <c r="F59" i="3"/>
  <c r="E59" i="3"/>
  <c r="F55" i="3"/>
  <c r="E55" i="3"/>
  <c r="F47" i="3"/>
  <c r="E47" i="3"/>
  <c r="F44" i="3"/>
  <c r="E44" i="3"/>
  <c r="F30" i="3"/>
  <c r="E30" i="3"/>
  <c r="F26" i="3"/>
  <c r="E26" i="3"/>
  <c r="F22" i="3"/>
  <c r="E22" i="3"/>
  <c r="F16" i="3"/>
  <c r="E14" i="3"/>
  <c r="F9" i="3"/>
  <c r="E9" i="3"/>
  <c r="F8" i="3"/>
  <c r="F7" i="3" s="1"/>
  <c r="E8" i="3"/>
  <c r="E7" i="3" s="1"/>
  <c r="F6" i="3"/>
  <c r="E6" i="3"/>
  <c r="E5" i="3" s="1"/>
  <c r="G14" i="3" l="1"/>
  <c r="F229" i="3"/>
  <c r="N169" i="3"/>
  <c r="G167" i="3"/>
  <c r="N167" i="3" s="1"/>
  <c r="N162" i="3"/>
  <c r="G161" i="3"/>
  <c r="E188" i="3"/>
  <c r="I188" i="3"/>
  <c r="F188" i="3"/>
  <c r="N190" i="3"/>
  <c r="G189" i="3"/>
  <c r="N202" i="3"/>
  <c r="E13" i="3"/>
  <c r="G143" i="3"/>
  <c r="G142" i="3" s="1"/>
  <c r="G130" i="3"/>
  <c r="G129" i="3" s="1"/>
  <c r="G26" i="3"/>
  <c r="N26" i="3" s="1"/>
  <c r="G22" i="3"/>
  <c r="N22" i="3" s="1"/>
  <c r="G8" i="3"/>
  <c r="N8" i="3" s="1"/>
  <c r="N44" i="3"/>
  <c r="F5" i="3"/>
  <c r="F4" i="3" s="1"/>
  <c r="G9" i="3"/>
  <c r="N9" i="3" s="1"/>
  <c r="N15" i="3"/>
  <c r="E229" i="3"/>
  <c r="N233" i="3"/>
  <c r="F95" i="3"/>
  <c r="E84" i="3"/>
  <c r="E160" i="3"/>
  <c r="E128" i="3" s="1"/>
  <c r="F14" i="3"/>
  <c r="F13" i="3" s="1"/>
  <c r="N16" i="3"/>
  <c r="F160" i="3"/>
  <c r="F128" i="3" s="1"/>
  <c r="E95" i="3"/>
  <c r="G122" i="3"/>
  <c r="N122" i="3" s="1"/>
  <c r="N58" i="3"/>
  <c r="F84" i="3"/>
  <c r="G55" i="3"/>
  <c r="N55" i="3" s="1"/>
  <c r="G88" i="3"/>
  <c r="N88" i="3" s="1"/>
  <c r="G182" i="3"/>
  <c r="N182" i="3" s="1"/>
  <c r="E29" i="3"/>
  <c r="E25" i="3" s="1"/>
  <c r="N56" i="3"/>
  <c r="F29" i="3"/>
  <c r="F25" i="3" s="1"/>
  <c r="G70" i="3"/>
  <c r="N70" i="3" s="1"/>
  <c r="N89" i="3"/>
  <c r="G107" i="3"/>
  <c r="N107" i="3" s="1"/>
  <c r="G47" i="3"/>
  <c r="N47" i="3" s="1"/>
  <c r="G85" i="3"/>
  <c r="G96" i="3"/>
  <c r="N96" i="3" s="1"/>
  <c r="E4" i="3"/>
  <c r="G216" i="3"/>
  <c r="N216" i="3" s="1"/>
  <c r="G30" i="3"/>
  <c r="N30" i="3" s="1"/>
  <c r="N217" i="3"/>
  <c r="N17" i="3"/>
  <c r="N97" i="3"/>
  <c r="N172" i="3"/>
  <c r="N45" i="3"/>
  <c r="N50" i="3"/>
  <c r="N65" i="3"/>
  <c r="N111" i="3"/>
  <c r="N234" i="3"/>
  <c r="G75" i="3"/>
  <c r="N75" i="3" s="1"/>
  <c r="G209" i="3"/>
  <c r="N209" i="3" s="1"/>
  <c r="G221" i="3"/>
  <c r="N221" i="3" s="1"/>
  <c r="G240" i="3"/>
  <c r="N240" i="3" s="1"/>
  <c r="G229" i="3" l="1"/>
  <c r="N229" i="3" s="1"/>
  <c r="N189" i="3"/>
  <c r="G188" i="3"/>
  <c r="N188" i="3" s="1"/>
  <c r="N130" i="3"/>
  <c r="G13" i="3"/>
  <c r="N13" i="3" s="1"/>
  <c r="G95" i="3"/>
  <c r="N95" i="3" s="1"/>
  <c r="E2" i="3"/>
  <c r="E1" i="3" s="1"/>
  <c r="N14" i="3"/>
  <c r="G29" i="3"/>
  <c r="N29" i="3" s="1"/>
  <c r="G84" i="3"/>
  <c r="N84" i="3" s="1"/>
  <c r="N142" i="3"/>
  <c r="N143" i="3"/>
  <c r="N85" i="3"/>
  <c r="N129" i="3"/>
  <c r="N60" i="3" l="1"/>
  <c r="G59" i="3"/>
  <c r="N59" i="3" s="1"/>
  <c r="N158" i="3"/>
  <c r="G157" i="3"/>
  <c r="N157" i="3" s="1"/>
  <c r="I151" i="3"/>
  <c r="I150" i="3" s="1"/>
  <c r="I128" i="3" s="1"/>
  <c r="H151" i="3"/>
  <c r="H150" i="3" s="1"/>
  <c r="H128" i="3" s="1"/>
  <c r="G152" i="3"/>
  <c r="N152" i="3" s="1"/>
  <c r="G151" i="3" l="1"/>
  <c r="G150" i="3" s="1"/>
  <c r="N150" i="3" l="1"/>
  <c r="N151" i="3"/>
  <c r="G6" i="3"/>
  <c r="N6" i="3" s="1"/>
  <c r="G160" i="3" l="1"/>
  <c r="N160" i="3" l="1"/>
  <c r="N161" i="3"/>
  <c r="H7" i="3" l="1"/>
  <c r="I7" i="3"/>
  <c r="J7" i="3"/>
  <c r="G177" i="3"/>
  <c r="N177" i="3" s="1"/>
  <c r="G171" i="3" l="1"/>
  <c r="G7" i="3"/>
  <c r="N171" i="3" l="1"/>
  <c r="G128" i="3"/>
  <c r="N7" i="3"/>
  <c r="N128" i="3" l="1"/>
  <c r="M5" i="3"/>
  <c r="M4" i="3" s="1"/>
  <c r="I5" i="3"/>
  <c r="I4" i="3" s="1"/>
  <c r="M67" i="3"/>
  <c r="M25" i="3" s="1"/>
  <c r="J5" i="3"/>
  <c r="J4" i="3" s="1"/>
  <c r="L5" i="3"/>
  <c r="L4" i="3" s="1"/>
  <c r="H5" i="3"/>
  <c r="H4" i="3" s="1"/>
  <c r="J67" i="3"/>
  <c r="J25" i="3" s="1"/>
  <c r="J2" i="3" s="1"/>
  <c r="K5" i="3"/>
  <c r="K4" i="3" s="1"/>
  <c r="L67" i="3"/>
  <c r="L25" i="3" s="1"/>
  <c r="L2" i="3" s="1"/>
  <c r="H67" i="3"/>
  <c r="H25" i="3" s="1"/>
  <c r="H2" i="3" s="1"/>
  <c r="K67" i="3"/>
  <c r="K25" i="3" s="1"/>
  <c r="K2" i="3" s="1"/>
  <c r="I67" i="3"/>
  <c r="I25" i="3" s="1"/>
  <c r="I2" i="3" s="1"/>
  <c r="G68" i="3"/>
  <c r="G5" i="3" s="1"/>
  <c r="G67" i="3" l="1"/>
  <c r="I1" i="3"/>
  <c r="N5" i="3"/>
  <c r="G4" i="3"/>
  <c r="N4" i="3" s="1"/>
  <c r="J1" i="3"/>
  <c r="H1" i="3"/>
  <c r="N68" i="3"/>
  <c r="N67" i="3" l="1"/>
  <c r="G25" i="3"/>
  <c r="N25" i="3" l="1"/>
</calcChain>
</file>

<file path=xl/sharedStrings.xml><?xml version="1.0" encoding="utf-8"?>
<sst xmlns="http://schemas.openxmlformats.org/spreadsheetml/2006/main" count="870" uniqueCount="313">
  <si>
    <t>Kulu 
liik</t>
  </si>
  <si>
    <t>Täpsustatud
eelarve</t>
  </si>
  <si>
    <t>Täitmine aasta 
algusest</t>
  </si>
  <si>
    <t>Täit- 
mise 
%</t>
  </si>
  <si>
    <t>teg a</t>
  </si>
  <si>
    <t>INVESTEERIMISTEGEVUS KULUD  kokku</t>
  </si>
  <si>
    <t>Põhivara soetus</t>
  </si>
  <si>
    <t>PVS</t>
  </si>
  <si>
    <t xml:space="preserve">  sh saadud toetuste arvel</t>
  </si>
  <si>
    <t>PVS-t</t>
  </si>
  <si>
    <t>Põhivara soetuseks antav sihtfinantseerimine</t>
  </si>
  <si>
    <t>ASF</t>
  </si>
  <si>
    <t>ASF-t</t>
  </si>
  <si>
    <t>Finantskulud</t>
  </si>
  <si>
    <t>FK</t>
  </si>
  <si>
    <t>Investeerimistegevuse kulud objektide ja finantseerimisallikate lõikes</t>
  </si>
  <si>
    <t>vk</t>
  </si>
  <si>
    <t>ÜLDISED  VALITSUSSEKTORI TEENUSED</t>
  </si>
  <si>
    <t>01</t>
  </si>
  <si>
    <t xml:space="preserve">   Linnavalitsus</t>
  </si>
  <si>
    <t>os</t>
  </si>
  <si>
    <t>LK</t>
  </si>
  <si>
    <t>LMO</t>
  </si>
  <si>
    <t>LVO</t>
  </si>
  <si>
    <t>Raekoja plats 14 ruumide remont</t>
  </si>
  <si>
    <t>x</t>
  </si>
  <si>
    <t xml:space="preserve">   Valitsussektori võla teenindamine</t>
  </si>
  <si>
    <t>RO</t>
  </si>
  <si>
    <t>Linna laenude teenindamine</t>
  </si>
  <si>
    <t>HO</t>
  </si>
  <si>
    <t>MAJANDUS</t>
  </si>
  <si>
    <t>04</t>
  </si>
  <si>
    <t xml:space="preserve">   Maakorraldus </t>
  </si>
  <si>
    <t>LPMKO</t>
  </si>
  <si>
    <t>Linna arenguks maa ost</t>
  </si>
  <si>
    <t xml:space="preserve">   Linna teed, tänavad ja sillad</t>
  </si>
  <si>
    <r>
      <rPr>
        <b/>
        <u/>
        <sz val="8"/>
        <color indexed="8"/>
        <rFont val="Verdana"/>
        <family val="2"/>
        <charset val="186"/>
      </rPr>
      <t xml:space="preserve">   Tänavate rekonstrueerimine, ehitus </t>
    </r>
  </si>
  <si>
    <t xml:space="preserve">   Ülekatted ja pindamised ning koostööprojektid kokku</t>
  </si>
  <si>
    <t xml:space="preserve">   Ülekatted ja pindamised ning koostööprojektid </t>
  </si>
  <si>
    <t xml:space="preserve">   Jalg-ja jalgrattateed</t>
  </si>
  <si>
    <t xml:space="preserve">   Liikluskorraldus</t>
  </si>
  <si>
    <t xml:space="preserve">   Transpordikorraldus</t>
  </si>
  <si>
    <t xml:space="preserve">   Üldmajanduslikud arendusprojektid</t>
  </si>
  <si>
    <t>EVO</t>
  </si>
  <si>
    <t xml:space="preserve">   Muu  majandus</t>
  </si>
  <si>
    <t>Investeeringud korteriühistutes projekti Smart ENCity raames</t>
  </si>
  <si>
    <t>Rattarendisüsteemi arendamine SmartEnCity projekti alal</t>
  </si>
  <si>
    <t>Korteriühistute remondifond</t>
  </si>
  <si>
    <t>Jaamamõisa maa-alade korrastamine</t>
  </si>
  <si>
    <t>Ettekirjutiste täitmine linna hoonetes</t>
  </si>
  <si>
    <t>KESKKONNAKAITSE</t>
  </si>
  <si>
    <t>05</t>
  </si>
  <si>
    <t xml:space="preserve">   Heitveekäitlus</t>
  </si>
  <si>
    <t>Toetus hüdrantide rajamiseks</t>
  </si>
  <si>
    <t xml:space="preserve">   Haljastus</t>
  </si>
  <si>
    <t>ELAMU-JA KOMMUNAALMAJANDUS</t>
  </si>
  <si>
    <t>06</t>
  </si>
  <si>
    <t xml:space="preserve">   Elamumajanduse arendamine</t>
  </si>
  <si>
    <t>Linnale kuuluvate korterite remont</t>
  </si>
  <si>
    <t>Linna elamute rekonstrueerimine ja projekteerimine (Rahu 8) Kredexi toetusega</t>
  </si>
  <si>
    <t>SmartENnCity osalus korteriühistute hoonete rekonstrueerimisel</t>
  </si>
  <si>
    <t>Linnale kuuluvate elamute remont</t>
  </si>
  <si>
    <t xml:space="preserve">   Tänavavalgustus</t>
  </si>
  <si>
    <t xml:space="preserve">   Muu elamu-ja kommunaaltegevus</t>
  </si>
  <si>
    <t>VABA AEG ja KULTUUR</t>
  </si>
  <si>
    <t>08</t>
  </si>
  <si>
    <t xml:space="preserve">   Spordibaasid</t>
  </si>
  <si>
    <t>Toetus SA-le Tartu Sport, sh</t>
  </si>
  <si>
    <t>KO</t>
  </si>
  <si>
    <t xml:space="preserve">   Puhkepargid</t>
  </si>
  <si>
    <t xml:space="preserve">Toetus SA-le Tähtvere Puhkepark, sh </t>
  </si>
  <si>
    <t xml:space="preserve">   Raamatukogud</t>
  </si>
  <si>
    <t xml:space="preserve">   Rahvakultuur </t>
  </si>
  <si>
    <t>Rahvariiete soetamine laulupeoliikumises osalevatele ühingutele</t>
  </si>
  <si>
    <t xml:space="preserve">   Muuseumid</t>
  </si>
  <si>
    <t>Mänguasjamuuseum (Lutsu 8)</t>
  </si>
  <si>
    <t xml:space="preserve">   Muinsuskaitse</t>
  </si>
  <si>
    <t>AEO</t>
  </si>
  <si>
    <t xml:space="preserve">   Kirjastused </t>
  </si>
  <si>
    <t>HARIDUS</t>
  </si>
  <si>
    <t>09</t>
  </si>
  <si>
    <t xml:space="preserve">   Lasteaiad</t>
  </si>
  <si>
    <t xml:space="preserve">   Kutseõppe kulud</t>
  </si>
  <si>
    <t xml:space="preserve">   Noorte huviharidus ja huvitegevus </t>
  </si>
  <si>
    <t xml:space="preserve">   Muu haridus</t>
  </si>
  <si>
    <t>SOTSIAALNE KAITSE</t>
  </si>
  <si>
    <t xml:space="preserve">   Muu puuetega inimeste sotsiaalne kaitse</t>
  </si>
  <si>
    <t>STO</t>
  </si>
  <si>
    <t xml:space="preserve">   Eakate sotsiaalhoolekande asutused</t>
  </si>
  <si>
    <t xml:space="preserve">   Muu sotsiaalsete riskirühmade kaitse</t>
  </si>
  <si>
    <t>Maarja Tugikeskuse peremajade rajamine</t>
  </si>
  <si>
    <t>IT tarkvara arendused ja vahendite soetamine</t>
  </si>
  <si>
    <t>Variku Kooli  lähitänavad (Aianduse, Piima, Kopli)</t>
  </si>
  <si>
    <t>Tamme pst (Raja-Kesk kaar)</t>
  </si>
  <si>
    <t>Vanemuise tn (Vaksali-Akadeemia)</t>
  </si>
  <si>
    <t>Vahi tn (Kummeli-Aruküla tee)</t>
  </si>
  <si>
    <t>Riia tn (Soinaste-Raja)</t>
  </si>
  <si>
    <t>Mõisavahe tn 9 korruseliste majade parklad</t>
  </si>
  <si>
    <t>Kastani tn (Tiigi-Kuperjanovi)</t>
  </si>
  <si>
    <t>Põik ja Fortuuna tn</t>
  </si>
  <si>
    <t>Riia tn viadukt ja tunnel</t>
  </si>
  <si>
    <t>Lepiku tn</t>
  </si>
  <si>
    <t>projekteerimised</t>
  </si>
  <si>
    <t>Ihaste kergliiklustee</t>
  </si>
  <si>
    <t>Vaksali tn - EMÜ – Waldorfkool kergliiklustee</t>
  </si>
  <si>
    <t>Tartu-Rahinge-Ilmatsalu  kergliiklustee</t>
  </si>
  <si>
    <t>fooriristmike rekonstrueerimine</t>
  </si>
  <si>
    <t>nutikad ülekäigurajad</t>
  </si>
  <si>
    <t>rattarendisüsteemi arendamine linnapiirkondade jätkusuutliku arengu programmi raames</t>
  </si>
  <si>
    <t>Veetransport</t>
  </si>
  <si>
    <t>Paadisildade rajamine</t>
  </si>
  <si>
    <t xml:space="preserve">Toetus SAle Tartu Teaduspark infrastruktuuri arendamiseks </t>
  </si>
  <si>
    <t>spin-off fondi sissemakse</t>
  </si>
  <si>
    <t>toetus SAle Loomemajanduskeskus Kalevi 17 restaureerimise laenu katteks</t>
  </si>
  <si>
    <t>Sanatooriumi parkmetsa Riia 167a spordiväljaku renoveerimine</t>
  </si>
  <si>
    <t>Sõbra tn mänguväljaku renoveerimine</t>
  </si>
  <si>
    <t>Annelinna koerte jalutusväljaku rajamine (II etapp)</t>
  </si>
  <si>
    <t>olemasolevate mänguväljakute atraktsioonide täiendamine ja uuendamine</t>
  </si>
  <si>
    <t>Toomemäe kaldtee projekteerimine</t>
  </si>
  <si>
    <t>Riia tn tänavavalgustuse uuendamine (Riia 13 - Kastani)</t>
  </si>
  <si>
    <t>Emajõe kaldavalgustuse renoveerimine</t>
  </si>
  <si>
    <t>Raekoja platsi fassaadi- ja püsivoolukilpide ümberehitus</t>
  </si>
  <si>
    <t>amortiseerunud mastide ja kaablite väljavahetamine</t>
  </si>
  <si>
    <t>Kuperjanovi, Pepleri ja Tiigi tn ülekäiguradade valgustuse ehitus</t>
  </si>
  <si>
    <t>Puhkekodu tn valgustuse  ümberehitamine</t>
  </si>
  <si>
    <t>Valgustuse rekonstrueerimine Tuglase tänaval ja tenniseväljaku kõrval asuval kergliiklusteel</t>
  </si>
  <si>
    <t>Rõhu kergliiklustee valgustuse ehitus</t>
  </si>
  <si>
    <t>Veeriku piirkonna tänavavalgustuse rekonstrueerimine</t>
  </si>
  <si>
    <t>Põhjatamme pimeda tänavalõigu valgustamine</t>
  </si>
  <si>
    <t>Turu 53 tänavapikenduse valgustuse ehitus</t>
  </si>
  <si>
    <t xml:space="preserve">Kalmistute (Kalmistu 20, 22 ja Võru 75a) hoonete renoveerimine </t>
  </si>
  <si>
    <t>Loomade varjupaik Roosi 91K kutsikate maja ventilatsioonisüsteemi ehitus</t>
  </si>
  <si>
    <t>Tuigo kalmistu leinamaja ja värava ehituse projekteerimine</t>
  </si>
  <si>
    <t>Uspenski kabeli sisetööde projekteerimine</t>
  </si>
  <si>
    <t>Tamme staadioni renoveerimine</t>
  </si>
  <si>
    <t>toetus TÜ-le Ujula tn spordikompleksi juurdeehituseks</t>
  </si>
  <si>
    <t>Variku spordihoone sisustamiseks</t>
  </si>
  <si>
    <t xml:space="preserve"> kunstmuru hooldamise traktori rendimakseteks</t>
  </si>
  <si>
    <t>Kvissentali veemotokeskuse sissesõidutee rajamine</t>
  </si>
  <si>
    <t>toetus Sõudmise ja Aerutamise Klubile "Tartu" (Ranna tee 5) paadikuuri katuse rekonstrueerimiseks</t>
  </si>
  <si>
    <t>toetus Võimlemisklubile Akros spodiinventari soetamiseks</t>
  </si>
  <si>
    <t>kunstlumetootmise süsteemi väljaehitamiseks</t>
  </si>
  <si>
    <t>elektrisüsteemi rekonstrueerimiseks</t>
  </si>
  <si>
    <t>tehnika rendimakseteks</t>
  </si>
  <si>
    <t>Toetus Kastre Vallavalitsusele Vooremäe terviseradade suusasildade rekonstrueerimiseks</t>
  </si>
  <si>
    <t>O. Lutsu nim Linnaraamatukogu</t>
  </si>
  <si>
    <t>Annelinna harukogu aknalamellide soetus ja paigaldamine</t>
  </si>
  <si>
    <t>Kompanii 3/5 teenindusala põranda remont</t>
  </si>
  <si>
    <t>Karlova harukogu jahutussüsteemi  rajamine</t>
  </si>
  <si>
    <t xml:space="preserve">Linnamuuseum (Narva mnt 23) </t>
  </si>
  <si>
    <t>Narva mnt 23 projekteerimine</t>
  </si>
  <si>
    <t>Narva mnt 23 inventari soetamine</t>
  </si>
  <si>
    <t>Laulupeomuuseumi (Jaama 14) püsinäituse uuendamine</t>
  </si>
  <si>
    <t>Laulupeomuuseumi (Jaama 14) ruumide ja siseõue remont</t>
  </si>
  <si>
    <t>KGB kongide muuseumi remont</t>
  </si>
  <si>
    <t>Teatri Kodu helitehnika kaasajastamine</t>
  </si>
  <si>
    <t>restaureerimise toetused</t>
  </si>
  <si>
    <t>toetus Tartu Jumalaema Uinumise katedraali (Magasini 1) restaureerimiseks</t>
  </si>
  <si>
    <t>toetus EELK Tartu Peetri Kogudusele kiriku remonttöödeks</t>
  </si>
  <si>
    <t>Raadi kalmistu Idamaise kabeli restaureerimine</t>
  </si>
  <si>
    <t>Eesti Kirjanike Liidu Tartu osakonnale Tartu Kirjanduse Maja (Vanemuise 19) välistreppide ja hoovi remondiks</t>
  </si>
  <si>
    <t>Lasteaed Pääsupesa (Sõpruse pst 12) rekonstrueerimine</t>
  </si>
  <si>
    <t>Lasteaed Maarjamõisa (Puusepa 10) rekonstrueerimine</t>
  </si>
  <si>
    <t>lasteaedade tehnosüsteemide korrastamine</t>
  </si>
  <si>
    <t>lasteaedade mänguväljakute ja õuepaviljonide korrashoid</t>
  </si>
  <si>
    <t>Üldhariduskoolid</t>
  </si>
  <si>
    <t>Annelinna Gümnaasium (Kaunase pst 68)</t>
  </si>
  <si>
    <t xml:space="preserve">Kivilinna Kool (Kaunase pst 71) </t>
  </si>
  <si>
    <t xml:space="preserve">Forseliuse Kool (Tähe 101 ja Tähe 103) </t>
  </si>
  <si>
    <t>M. Härma Gümnaasium (Tõnissoni 3)</t>
  </si>
  <si>
    <t>Variku Kool (Aianduse 4)</t>
  </si>
  <si>
    <t>hoone Põllu 11a rekonstrueerimine</t>
  </si>
  <si>
    <t>digitaalse õppevara arendamine</t>
  </si>
  <si>
    <t>Anne Noortekeskuse (Uus 56) rekonstrueerimine</t>
  </si>
  <si>
    <t>Laste Kunstikooli (Tiigi 61) akende vahetus</t>
  </si>
  <si>
    <t xml:space="preserve">M. Reiniku Kooli hoovi arendamine </t>
  </si>
  <si>
    <t>haridusasutuste territooriumide korrashoid</t>
  </si>
  <si>
    <t>ettekirjutiste täitmine</t>
  </si>
  <si>
    <t>haridusasutuste rekonstrueerimistööde projekteerimised</t>
  </si>
  <si>
    <t>Annelinna spordiväljaku renoveerimine (kaasav eelarve)</t>
  </si>
  <si>
    <t>Kesklinna Kooli liikuma kutsuv õueala (kaasav eelarve)</t>
  </si>
  <si>
    <t>Hooldekodule sõiduauto soetus</t>
  </si>
  <si>
    <t>Tüve 9 sotsiaalüürimajade projekteerimine</t>
  </si>
  <si>
    <t>Üldhooldekodu rajamise detailplaneering ja eskiisprojekt</t>
  </si>
  <si>
    <t>Kinnitatud esialgne
eelarve</t>
  </si>
  <si>
    <t>Jaanuar</t>
  </si>
  <si>
    <t>veebruar</t>
  </si>
  <si>
    <t>märts</t>
  </si>
  <si>
    <t>aprill</t>
  </si>
  <si>
    <t>mai</t>
  </si>
  <si>
    <t>juuni</t>
  </si>
  <si>
    <t>lasteaedade rühmaruumide remont</t>
  </si>
  <si>
    <r>
      <t xml:space="preserve"> </t>
    </r>
    <r>
      <rPr>
        <b/>
        <sz val="8"/>
        <color theme="1"/>
        <rFont val="Verdana"/>
        <family val="2"/>
        <charset val="186"/>
      </rPr>
      <t xml:space="preserve"> Muu vaba aeg</t>
    </r>
  </si>
  <si>
    <t>Lodjakoja töökoda</t>
  </si>
  <si>
    <t xml:space="preserve">Lastead Maarjamõisa ( Puuseoa 10) rek </t>
  </si>
  <si>
    <t>H.Masingu Koo (vanemuise 33)</t>
  </si>
  <si>
    <t>Projekt "500 kodu tuleohutuks"</t>
  </si>
  <si>
    <t>2 sõiduauto ost</t>
  </si>
  <si>
    <t>Mänguasjamuuseum taristu remonttööd</t>
  </si>
  <si>
    <t xml:space="preserve">Lasteaed Rukkilill(Sepa 18) </t>
  </si>
  <si>
    <t>Kutsehariduskeskuse hooned ja info-kommunikatsiooni seadmed</t>
  </si>
  <si>
    <t>toetus Tartu Spordiseltsile "Kalev" Magasini 5  elektritöödeks</t>
  </si>
  <si>
    <t xml:space="preserve">toetus SA-le Tartu Maarja Kirik </t>
  </si>
  <si>
    <t>toetus SA-le Tartu Jaani Kirik</t>
  </si>
  <si>
    <t>Lõuna-Eesti vabastajate monumendi taastamine ja Raadi Garnisoni kalmistu korrastamine</t>
  </si>
  <si>
    <t>…</t>
  </si>
  <si>
    <t>Maalide renoveerimine</t>
  </si>
  <si>
    <t>Ülikooli tn (Vallikraavi- Küütri)</t>
  </si>
  <si>
    <t>Roopa-Variku-Maasika kõnnitee</t>
  </si>
  <si>
    <t>Turu-Ropka tee ristmik</t>
  </si>
  <si>
    <t>Jaama 173 teeületuskoha ohutumaks muutmine</t>
  </si>
  <si>
    <t xml:space="preserve">Bussipeatuste rekonstrueerimine (esialgselt Puidu bussipetus) </t>
  </si>
  <si>
    <t>Linna haldushoonete (Küüni tn) fassaadide remont</t>
  </si>
  <si>
    <t>Monumentide rekonstrueerimine</t>
  </si>
  <si>
    <t>Lasteaed Kannike ümbruse valgustus</t>
  </si>
  <si>
    <t>toetus võimlemisklubile Rütmika võimlemisvaiba soetamiseks</t>
  </si>
  <si>
    <t xml:space="preserve">projektlahendus Tähtvere laululava katuse (astmestiku) läbijooksude selgitamiseks           </t>
  </si>
  <si>
    <t>Ilmatsalu raamatukogu IT infrastruktuuri uuendamine ja invasüsteemi rajamine</t>
  </si>
  <si>
    <t>0s</t>
  </si>
  <si>
    <t>toetus SA-le Tartu Vaimse Tervise Hooldekeskus asutuse  osaliseks remondiks</t>
  </si>
  <si>
    <t xml:space="preserve">Hooldekodule eriotstarbelise inventari soetus </t>
  </si>
  <si>
    <r>
      <t xml:space="preserve">  </t>
    </r>
    <r>
      <rPr>
        <b/>
        <sz val="9"/>
        <color theme="1"/>
        <rFont val="Verdana"/>
        <family val="2"/>
        <charset val="186"/>
      </rPr>
      <t xml:space="preserve"> Asenduskodud</t>
    </r>
    <r>
      <rPr>
        <sz val="9"/>
        <color theme="1"/>
        <rFont val="Verdana"/>
        <family val="2"/>
        <charset val="186"/>
      </rPr>
      <t xml:space="preserve"> </t>
    </r>
  </si>
  <si>
    <t>toetus MTÜ-le Kristlik Kodu üksikelamute ehitustööde kaasfinantseerimiseks</t>
  </si>
  <si>
    <t xml:space="preserve">Ilmatsalu Põhikool (Kooli tee 77) küttesüstemi rekonstrueerimiseks </t>
  </si>
  <si>
    <t>Lasteaed Helika (Kalevi 52a)</t>
  </si>
  <si>
    <t>Haldushoonete turvalisuse suurendamine</t>
  </si>
  <si>
    <t>Annemõisa jalgpalli sisehallide projekteerimine</t>
  </si>
  <si>
    <t>toetus MTÜ-le Juudi Kogukond Juudi kalmistu kõrvalhoone remondiks</t>
  </si>
  <si>
    <t>Tarkvara arendus</t>
  </si>
  <si>
    <t xml:space="preserve">M.Härma Gümnaasium (Tõnissoni 3)rahvariiete soetus </t>
  </si>
  <si>
    <t>seisuga 30. juuni 2019</t>
  </si>
  <si>
    <t>Eelarve täitmise aruanne</t>
  </si>
  <si>
    <t>Tartu Linnavalitsus</t>
  </si>
  <si>
    <t>seisuga:</t>
  </si>
  <si>
    <t xml:space="preserve">Eelarve </t>
  </si>
  <si>
    <t>Täitmine</t>
  </si>
  <si>
    <t>%</t>
  </si>
  <si>
    <t>kasv</t>
  </si>
  <si>
    <t>Klassifikaator</t>
  </si>
  <si>
    <t>Kirje nimetus</t>
  </si>
  <si>
    <t>täitmine</t>
  </si>
  <si>
    <t>eurodes</t>
  </si>
  <si>
    <t>PÕHITEGEVUSE TULUD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</si>
  <si>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</si>
  <si>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</si>
  <si>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</si>
  <si>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</si>
  <si>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</si>
  <si>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</si>
  <si>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</si>
  <si>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</si>
  <si>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</si>
  <si>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</si>
  <si>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</si>
  <si>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3500*, 35210</t>
  </si>
  <si>
    <t>Muud saadud toetused tegevuskuludeks</t>
  </si>
  <si>
    <t>3825, 388</t>
  </si>
  <si>
    <t xml:space="preserve">Muud tegevustulud </t>
  </si>
  <si>
    <t>Võlalt arvestatud intressitulu</t>
  </si>
  <si>
    <t>Laekumine vee erikasutusest</t>
  </si>
  <si>
    <t>Trahvid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</si>
  <si>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</si>
  <si>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</si>
  <si>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</si>
  <si>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</si>
  <si>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</si>
  <si>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</si>
  <si>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s h töötasud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</si>
  <si>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</si>
  <si>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</si>
  <si>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</si>
  <si>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</si>
  <si>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</si>
  <si>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</si>
  <si>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</si>
  <si>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</si>
  <si>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</si>
  <si>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</si>
  <si>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</si>
  <si>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Finantskulud (-)</t>
  </si>
  <si>
    <t>EELARVE TULEM (ÜLEJÄÄK (+) / PUUDUJÄÄK (-))</t>
  </si>
  <si>
    <t>FINANTSEERIMISTEGEVUS</t>
  </si>
  <si>
    <t>20.5</t>
  </si>
  <si>
    <t>Kohustuste võtmine (+)</t>
  </si>
  <si>
    <t>2080.5</t>
  </si>
  <si>
    <t>s h  võlakirjade emiteerimine</t>
  </si>
  <si>
    <t>2081.5</t>
  </si>
  <si>
    <t xml:space="preserve">       laenud</t>
  </si>
  <si>
    <t>2082.5</t>
  </si>
  <si>
    <t xml:space="preserve">       kapitalirent </t>
  </si>
  <si>
    <t>20.6</t>
  </si>
  <si>
    <t>Kohustuste tasumine (-)</t>
  </si>
  <si>
    <t>2080.6</t>
  </si>
  <si>
    <t>s h  võlakirjade emiteerimine (tasumine)</t>
  </si>
  <si>
    <t>2081.6</t>
  </si>
  <si>
    <t xml:space="preserve">       laenud (tasumine)</t>
  </si>
  <si>
    <t>2082.6</t>
  </si>
  <si>
    <t xml:space="preserve">       kapitalirent (tasumine)</t>
  </si>
  <si>
    <t>Likviidsete varade muutus (+ suurenemine, - vähenemine)</t>
  </si>
  <si>
    <t>Nõuete ja kohustuste saldode muutus (tekkepõhise e/a korral) (+/-)</t>
  </si>
  <si>
    <t>Kulud TEGEVUSALATI</t>
  </si>
  <si>
    <t>Üldised valitsussektori teenused</t>
  </si>
  <si>
    <t>03</t>
  </si>
  <si>
    <t>Avalik kord ja julgeolek</t>
  </si>
  <si>
    <t>Majandus</t>
  </si>
  <si>
    <t>Keskkonnakaitse</t>
  </si>
  <si>
    <t>Elamu- ja kommunaalmajandus</t>
  </si>
  <si>
    <t>07</t>
  </si>
  <si>
    <t>Tervishoid</t>
  </si>
  <si>
    <t>Vabaaeg, kultuur ja religioon</t>
  </si>
  <si>
    <t>Haridus</t>
  </si>
  <si>
    <t>10</t>
  </si>
  <si>
    <t>Sotsiaalne kaitse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</si>
</sst>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4" tint="-0.249977111117893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rgb="FFFF0000"/>
      <name val="Verdana"/>
      <family val="2"/>
      <charset val="186"/>
    </font>
    <font>
      <b/>
      <sz val="8"/>
      <color theme="1"/>
      <name val="Verdana"/>
      <family val="2"/>
      <charset val="186"/>
    </font>
    <font>
      <sz val="9"/>
      <color theme="1"/>
      <name val="Times New Roman"/>
      <family val="1"/>
      <charset val="186"/>
    </font>
    <font>
      <b/>
      <sz val="8"/>
      <name val="Verdana"/>
      <family val="2"/>
      <charset val="186"/>
    </font>
    <font>
      <i/>
      <sz val="8"/>
      <color theme="4" tint="-0.249977111117893"/>
      <name val="Verdana"/>
      <family val="2"/>
      <charset val="186"/>
    </font>
    <font>
      <i/>
      <sz val="8"/>
      <name val="Verdana"/>
      <family val="2"/>
      <charset val="186"/>
    </font>
    <font>
      <i/>
      <sz val="8"/>
      <color theme="1"/>
      <name val="Verdana"/>
      <family val="2"/>
      <charset val="186"/>
    </font>
    <font>
      <sz val="8"/>
      <color rgb="FF0000FF"/>
      <name val="Verdana"/>
      <family val="2"/>
      <charset val="186"/>
    </font>
    <font>
      <b/>
      <sz val="9"/>
      <color theme="1"/>
      <name val="Verdana"/>
      <family val="2"/>
      <charset val="186"/>
    </font>
    <font>
      <b/>
      <i/>
      <sz val="8"/>
      <color theme="4" tint="-0.249977111117893"/>
      <name val="Verdana"/>
      <family val="2"/>
      <charset val="186"/>
    </font>
    <font>
      <sz val="9"/>
      <color theme="4" tint="-0.249977111117893"/>
      <name val="Verdana"/>
      <family val="2"/>
      <charset val="186"/>
    </font>
    <font>
      <sz val="9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name val="Verdana"/>
      <family val="2"/>
      <charset val="186"/>
    </font>
    <font>
      <b/>
      <sz val="8"/>
      <color theme="4" tint="-0.249977111117893"/>
      <name val="Verdana"/>
      <family val="2"/>
      <charset val="186"/>
    </font>
    <font>
      <b/>
      <i/>
      <sz val="9"/>
      <color theme="1"/>
      <name val="Verdana"/>
      <family val="2"/>
      <charset val="186"/>
    </font>
    <font>
      <u/>
      <sz val="8"/>
      <color theme="4" tint="-0.249977111117893"/>
      <name val="Verdana"/>
      <family val="2"/>
      <charset val="186"/>
    </font>
    <font>
      <u/>
      <sz val="8"/>
      <name val="Verdana"/>
      <family val="2"/>
      <charset val="186"/>
    </font>
    <font>
      <b/>
      <u/>
      <sz val="8"/>
      <color theme="1"/>
      <name val="Verdana"/>
      <family val="2"/>
      <charset val="186"/>
    </font>
    <font>
      <b/>
      <u/>
      <sz val="8"/>
      <color indexed="8"/>
      <name val="Verdana"/>
      <family val="2"/>
      <charset val="186"/>
    </font>
    <font>
      <u/>
      <sz val="8"/>
      <color theme="1"/>
      <name val="Verdana"/>
      <family val="2"/>
      <charset val="186"/>
    </font>
    <font>
      <b/>
      <u/>
      <sz val="8"/>
      <color theme="4" tint="-0.249977111117893"/>
      <name val="Verdana"/>
      <family val="2"/>
      <charset val="186"/>
    </font>
    <font>
      <b/>
      <u/>
      <sz val="8"/>
      <name val="Verdana"/>
      <family val="2"/>
      <charset val="186"/>
    </font>
    <font>
      <b/>
      <i/>
      <u/>
      <sz val="8"/>
      <color theme="1"/>
      <name val="Verdana"/>
      <family val="2"/>
      <charset val="186"/>
    </font>
    <font>
      <sz val="10"/>
      <name val="Arial"/>
      <family val="2"/>
      <charset val="186"/>
    </font>
    <font>
      <b/>
      <i/>
      <sz val="8"/>
      <color theme="1"/>
      <name val="Verdana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trike/>
      <sz val="10"/>
      <name val="Cambria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9F2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9" fontId="29" fillId="0" borderId="0" applyFont="0" applyFill="0" applyBorder="0" applyAlignment="0" applyProtection="0"/>
  </cellStyleXfs>
  <cellXfs count="4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3" fontId="5" fillId="0" borderId="0" xfId="0" applyNumberFormat="1" applyFont="1" applyFill="1"/>
    <xf numFmtId="3" fontId="4" fillId="0" borderId="1" xfId="0" applyNumberFormat="1" applyFont="1" applyBorder="1"/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3" fillId="0" borderId="0" xfId="0" applyFont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3" fontId="8" fillId="0" borderId="9" xfId="0" applyNumberFormat="1" applyFont="1" applyBorder="1"/>
    <xf numFmtId="3" fontId="6" fillId="0" borderId="9" xfId="0" applyNumberFormat="1" applyFont="1" applyBorder="1"/>
    <xf numFmtId="3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3" fontId="4" fillId="0" borderId="11" xfId="0" quotePrefix="1" applyNumberFormat="1" applyFont="1" applyBorder="1"/>
    <xf numFmtId="3" fontId="4" fillId="0" borderId="11" xfId="0" applyNumberFormat="1" applyFont="1" applyBorder="1"/>
    <xf numFmtId="0" fontId="9" fillId="0" borderId="0" xfId="0" applyFont="1"/>
    <xf numFmtId="0" fontId="11" fillId="3" borderId="12" xfId="0" applyFont="1" applyFill="1" applyBorder="1"/>
    <xf numFmtId="0" fontId="4" fillId="3" borderId="1" xfId="0" applyFont="1" applyFill="1" applyBorder="1" applyAlignment="1">
      <alignment horizontal="center"/>
    </xf>
    <xf numFmtId="3" fontId="4" fillId="3" borderId="1" xfId="0" quotePrefix="1" applyNumberFormat="1" applyFont="1" applyFill="1" applyBorder="1"/>
    <xf numFmtId="3" fontId="4" fillId="3" borderId="1" xfId="0" applyNumberFormat="1" applyFont="1" applyFill="1" applyBorder="1"/>
    <xf numFmtId="0" fontId="11" fillId="0" borderId="0" xfId="0" applyFont="1"/>
    <xf numFmtId="0" fontId="3" fillId="0" borderId="12" xfId="0" applyFont="1" applyBorder="1"/>
    <xf numFmtId="0" fontId="4" fillId="0" borderId="1" xfId="0" applyFont="1" applyBorder="1" applyAlignment="1">
      <alignment horizontal="center"/>
    </xf>
    <xf numFmtId="3" fontId="4" fillId="0" borderId="1" xfId="0" quotePrefix="1" applyNumberFormat="1" applyFont="1" applyBorder="1"/>
    <xf numFmtId="3" fontId="4" fillId="3" borderId="11" xfId="0" quotePrefix="1" applyNumberFormat="1" applyFont="1" applyFill="1" applyBorder="1"/>
    <xf numFmtId="3" fontId="4" fillId="3" borderId="11" xfId="0" applyNumberFormat="1" applyFont="1" applyFill="1" applyBorder="1"/>
    <xf numFmtId="0" fontId="13" fillId="0" borderId="0" xfId="0" applyFont="1"/>
    <xf numFmtId="0" fontId="4" fillId="0" borderId="9" xfId="0" applyFont="1" applyBorder="1" applyAlignment="1">
      <alignment horizontal="center"/>
    </xf>
    <xf numFmtId="3" fontId="12" fillId="0" borderId="0" xfId="0" applyNumberFormat="1" applyFont="1"/>
    <xf numFmtId="3" fontId="3" fillId="0" borderId="0" xfId="0" applyNumberFormat="1" applyFont="1"/>
    <xf numFmtId="3" fontId="14" fillId="0" borderId="14" xfId="0" applyNumberFormat="1" applyFont="1" applyFill="1" applyBorder="1"/>
    <xf numFmtId="0" fontId="15" fillId="5" borderId="15" xfId="0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0" fontId="17" fillId="5" borderId="15" xfId="0" applyFont="1" applyFill="1" applyBorder="1" applyAlignment="1">
      <alignment horizontal="center" vertical="center"/>
    </xf>
    <xf numFmtId="3" fontId="18" fillId="5" borderId="17" xfId="0" applyNumberFormat="1" applyFont="1" applyFill="1" applyBorder="1" applyAlignment="1">
      <alignment vertical="center"/>
    </xf>
    <xf numFmtId="3" fontId="18" fillId="5" borderId="15" xfId="0" applyNumberFormat="1" applyFont="1" applyFill="1" applyBorder="1" applyAlignment="1">
      <alignment vertical="center"/>
    </xf>
    <xf numFmtId="3" fontId="13" fillId="5" borderId="15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2" borderId="11" xfId="0" applyFont="1" applyFill="1" applyBorder="1"/>
    <xf numFmtId="0" fontId="13" fillId="2" borderId="19" xfId="0" applyFont="1" applyFill="1" applyBorder="1"/>
    <xf numFmtId="0" fontId="6" fillId="2" borderId="11" xfId="0" applyFont="1" applyFill="1" applyBorder="1" applyAlignment="1">
      <alignment horizontal="center"/>
    </xf>
    <xf numFmtId="3" fontId="6" fillId="2" borderId="11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2" fillId="0" borderId="21" xfId="0" applyFont="1" applyBorder="1"/>
    <xf numFmtId="0" fontId="3" fillId="0" borderId="1" xfId="0" applyFont="1" applyBorder="1"/>
    <xf numFmtId="0" fontId="4" fillId="0" borderId="22" xfId="0" applyFont="1" applyBorder="1"/>
    <xf numFmtId="3" fontId="11" fillId="0" borderId="1" xfId="0" applyNumberFormat="1" applyFont="1" applyBorder="1"/>
    <xf numFmtId="3" fontId="2" fillId="0" borderId="0" xfId="0" quotePrefix="1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22" xfId="0" applyFont="1" applyBorder="1" applyAlignment="1">
      <alignment wrapText="1"/>
    </xf>
    <xf numFmtId="0" fontId="2" fillId="0" borderId="8" xfId="0" applyFont="1" applyFill="1" applyBorder="1"/>
    <xf numFmtId="0" fontId="3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5" xfId="0" applyFont="1" applyFill="1" applyBorder="1"/>
    <xf numFmtId="0" fontId="8" fillId="2" borderId="1" xfId="0" applyFont="1" applyFill="1" applyBorder="1"/>
    <xf numFmtId="0" fontId="13" fillId="2" borderId="22" xfId="0" applyFont="1" applyFill="1" applyBorder="1"/>
    <xf numFmtId="0" fontId="6" fillId="2" borderId="1" xfId="0" applyFont="1" applyFill="1" applyBorder="1" applyAlignment="1">
      <alignment horizontal="center"/>
    </xf>
    <xf numFmtId="3" fontId="6" fillId="2" borderId="23" xfId="0" applyNumberFormat="1" applyFont="1" applyFill="1" applyBorder="1"/>
    <xf numFmtId="3" fontId="6" fillId="2" borderId="1" xfId="0" applyNumberFormat="1" applyFont="1" applyFill="1" applyBorder="1"/>
    <xf numFmtId="3" fontId="3" fillId="0" borderId="22" xfId="0" applyNumberFormat="1" applyFont="1" applyBorder="1"/>
    <xf numFmtId="3" fontId="4" fillId="0" borderId="22" xfId="0" applyNumberFormat="1" applyFont="1" applyBorder="1"/>
    <xf numFmtId="4" fontId="4" fillId="0" borderId="0" xfId="0" applyNumberFormat="1" applyFont="1" applyFill="1" applyBorder="1"/>
    <xf numFmtId="0" fontId="4" fillId="0" borderId="22" xfId="0" applyFont="1" applyBorder="1" applyAlignment="1">
      <alignment vertical="center" wrapText="1"/>
    </xf>
    <xf numFmtId="0" fontId="2" fillId="0" borderId="13" xfId="0" applyFont="1" applyFill="1" applyBorder="1"/>
    <xf numFmtId="0" fontId="3" fillId="0" borderId="14" xfId="0" applyFont="1" applyFill="1" applyBorder="1"/>
    <xf numFmtId="0" fontId="4" fillId="0" borderId="14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/>
    </xf>
    <xf numFmtId="3" fontId="8" fillId="2" borderId="0" xfId="0" applyNumberFormat="1" applyFont="1" applyFill="1" applyBorder="1"/>
    <xf numFmtId="0" fontId="8" fillId="0" borderId="0" xfId="0" applyFont="1" applyFill="1"/>
    <xf numFmtId="3" fontId="4" fillId="0" borderId="0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21" fillId="0" borderId="21" xfId="0" applyFont="1" applyFill="1" applyBorder="1"/>
    <xf numFmtId="0" fontId="22" fillId="0" borderId="1" xfId="0" applyFont="1" applyFill="1" applyBorder="1"/>
    <xf numFmtId="0" fontId="23" fillId="6" borderId="22" xfId="0" applyFont="1" applyFill="1" applyBorder="1"/>
    <xf numFmtId="0" fontId="23" fillId="6" borderId="1" xfId="0" applyFont="1" applyFill="1" applyBorder="1" applyAlignment="1">
      <alignment horizontal="center"/>
    </xf>
    <xf numFmtId="3" fontId="23" fillId="6" borderId="1" xfId="0" applyNumberFormat="1" applyFont="1" applyFill="1" applyBorder="1"/>
    <xf numFmtId="3" fontId="25" fillId="0" borderId="0" xfId="0" applyNumberFormat="1" applyFont="1" applyFill="1" applyBorder="1"/>
    <xf numFmtId="0" fontId="25" fillId="0" borderId="0" xfId="0" applyFont="1" applyFill="1"/>
    <xf numFmtId="0" fontId="4" fillId="0" borderId="22" xfId="0" applyFont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3" fontId="4" fillId="0" borderId="1" xfId="0" applyNumberFormat="1" applyFont="1" applyFill="1" applyBorder="1"/>
    <xf numFmtId="0" fontId="4" fillId="0" borderId="22" xfId="0" applyFont="1" applyFill="1" applyBorder="1" applyAlignment="1">
      <alignment horizontal="left" wrapText="1"/>
    </xf>
    <xf numFmtId="0" fontId="3" fillId="4" borderId="9" xfId="0" applyFont="1" applyFill="1" applyBorder="1"/>
    <xf numFmtId="0" fontId="4" fillId="4" borderId="0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25" xfId="0" applyFont="1" applyFill="1" applyBorder="1"/>
    <xf numFmtId="0" fontId="26" fillId="0" borderId="21" xfId="0" applyFont="1" applyFill="1" applyBorder="1"/>
    <xf numFmtId="0" fontId="27" fillId="0" borderId="1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/>
    <xf numFmtId="0" fontId="3" fillId="0" borderId="1" xfId="0" applyFont="1" applyFill="1" applyBorder="1"/>
    <xf numFmtId="0" fontId="4" fillId="0" borderId="2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3" fontId="28" fillId="6" borderId="1" xfId="0" applyNumberFormat="1" applyFont="1" applyFill="1" applyBorder="1"/>
    <xf numFmtId="0" fontId="4" fillId="0" borderId="22" xfId="0" applyFont="1" applyFill="1" applyBorder="1"/>
    <xf numFmtId="0" fontId="4" fillId="3" borderId="22" xfId="0" applyFont="1" applyFill="1" applyBorder="1"/>
    <xf numFmtId="0" fontId="4" fillId="3" borderId="22" xfId="0" applyFont="1" applyFill="1" applyBorder="1" applyAlignment="1">
      <alignment vertical="center" wrapText="1"/>
    </xf>
    <xf numFmtId="0" fontId="3" fillId="4" borderId="14" xfId="0" applyFont="1" applyFill="1" applyBorder="1"/>
    <xf numFmtId="0" fontId="4" fillId="4" borderId="2" xfId="0" applyFont="1" applyFill="1" applyBorder="1"/>
    <xf numFmtId="0" fontId="4" fillId="4" borderId="26" xfId="0" applyFont="1" applyFill="1" applyBorder="1"/>
    <xf numFmtId="3" fontId="13" fillId="5" borderId="16" xfId="0" applyNumberFormat="1" applyFont="1" applyFill="1" applyBorder="1" applyAlignment="1">
      <alignment vertical="center" wrapText="1"/>
    </xf>
    <xf numFmtId="3" fontId="13" fillId="5" borderId="15" xfId="0" applyNumberFormat="1" applyFont="1" applyFill="1" applyBorder="1" applyAlignment="1">
      <alignment horizontal="center" vertical="center"/>
    </xf>
    <xf numFmtId="0" fontId="3" fillId="2" borderId="11" xfId="0" applyFont="1" applyFill="1" applyBorder="1"/>
    <xf numFmtId="3" fontId="13" fillId="2" borderId="19" xfId="0" applyNumberFormat="1" applyFont="1" applyFill="1" applyBorder="1"/>
    <xf numFmtId="3" fontId="4" fillId="2" borderId="1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3" fillId="2" borderId="22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4" fillId="7" borderId="22" xfId="0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0" fontId="4" fillId="4" borderId="14" xfId="0" applyFont="1" applyFill="1" applyBorder="1" applyAlignment="1">
      <alignment horizontal="center"/>
    </xf>
    <xf numFmtId="3" fontId="13" fillId="5" borderId="16" xfId="0" applyNumberFormat="1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3" xfId="0" applyNumberFormat="1" applyFont="1" applyBorder="1"/>
    <xf numFmtId="3" fontId="3" fillId="0" borderId="1" xfId="0" applyNumberFormat="1" applyFont="1" applyBorder="1"/>
    <xf numFmtId="3" fontId="3" fillId="0" borderId="22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0" borderId="22" xfId="0" applyNumberFormat="1" applyFont="1" applyFill="1" applyBorder="1"/>
    <xf numFmtId="3" fontId="3" fillId="3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0" fontId="16" fillId="5" borderId="30" xfId="0" applyFont="1" applyFill="1" applyBorder="1" applyAlignment="1">
      <alignment vertical="center"/>
    </xf>
    <xf numFmtId="3" fontId="13" fillId="5" borderId="31" xfId="0" applyNumberFormat="1" applyFont="1" applyFill="1" applyBorder="1" applyAlignment="1">
      <alignment vertical="center"/>
    </xf>
    <xf numFmtId="3" fontId="13" fillId="5" borderId="30" xfId="0" applyNumberFormat="1" applyFont="1" applyFill="1" applyBorder="1" applyAlignment="1">
      <alignment horizontal="center" vertical="center"/>
    </xf>
    <xf numFmtId="3" fontId="18" fillId="5" borderId="30" xfId="0" applyNumberFormat="1" applyFont="1" applyFill="1" applyBorder="1" applyAlignment="1">
      <alignment vertical="center"/>
    </xf>
    <xf numFmtId="3" fontId="20" fillId="5" borderId="3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8" fillId="2" borderId="1" xfId="0" quotePrefix="1" applyFont="1" applyFill="1" applyBorder="1"/>
    <xf numFmtId="3" fontId="19" fillId="0" borderId="0" xfId="0" quotePrefix="1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19" fillId="0" borderId="21" xfId="0" applyFont="1" applyFill="1" applyBorder="1"/>
    <xf numFmtId="0" fontId="8" fillId="0" borderId="1" xfId="0" quotePrefix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0" fontId="10" fillId="0" borderId="1" xfId="0" applyFont="1" applyBorder="1"/>
    <xf numFmtId="3" fontId="11" fillId="0" borderId="22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9" fillId="0" borderId="0" xfId="0" quotePrefix="1" applyNumberFormat="1" applyFont="1" applyBorder="1" applyAlignment="1">
      <alignment horizontal="center"/>
    </xf>
    <xf numFmtId="3" fontId="11" fillId="0" borderId="22" xfId="0" applyNumberFormat="1" applyFont="1" applyFill="1" applyBorder="1" applyAlignment="1">
      <alignment horizontal="right" indent="1"/>
    </xf>
    <xf numFmtId="3" fontId="10" fillId="0" borderId="1" xfId="0" applyNumberFormat="1" applyFont="1" applyBorder="1"/>
    <xf numFmtId="3" fontId="11" fillId="0" borderId="22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3" fontId="9" fillId="0" borderId="0" xfId="0" quotePrefix="1" applyNumberFormat="1" applyFont="1" applyFill="1" applyBorder="1" applyAlignment="1">
      <alignment horizontal="center"/>
    </xf>
    <xf numFmtId="3" fontId="11" fillId="0" borderId="22" xfId="0" applyNumberFormat="1" applyFont="1" applyFill="1" applyBorder="1"/>
    <xf numFmtId="0" fontId="3" fillId="2" borderId="1" xfId="0" quotePrefix="1" applyFont="1" applyFill="1" applyBorder="1"/>
    <xf numFmtId="0" fontId="4" fillId="0" borderId="0" xfId="0" quotePrefix="1" applyFont="1" applyFill="1" applyBorder="1"/>
    <xf numFmtId="3" fontId="4" fillId="0" borderId="22" xfId="0" applyNumberFormat="1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3" fontId="4" fillId="0" borderId="9" xfId="0" applyNumberFormat="1" applyFont="1" applyBorder="1"/>
    <xf numFmtId="3" fontId="11" fillId="3" borderId="1" xfId="0" applyNumberFormat="1" applyFont="1" applyFill="1" applyBorder="1"/>
    <xf numFmtId="0" fontId="13" fillId="5" borderId="31" xfId="0" applyFont="1" applyFill="1" applyBorder="1" applyAlignment="1">
      <alignment vertical="center"/>
    </xf>
    <xf numFmtId="0" fontId="13" fillId="5" borderId="3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right"/>
    </xf>
    <xf numFmtId="3" fontId="10" fillId="3" borderId="1" xfId="0" applyNumberFormat="1" applyFont="1" applyFill="1" applyBorder="1"/>
    <xf numFmtId="0" fontId="3" fillId="0" borderId="0" xfId="0" applyFont="1" applyBorder="1"/>
    <xf numFmtId="0" fontId="4" fillId="7" borderId="22" xfId="0" applyFont="1" applyFill="1" applyBorder="1"/>
    <xf numFmtId="0" fontId="4" fillId="7" borderId="1" xfId="0" applyFont="1" applyFill="1" applyBorder="1" applyAlignment="1">
      <alignment horizontal="center"/>
    </xf>
    <xf numFmtId="0" fontId="16" fillId="5" borderId="17" xfId="0" applyFont="1" applyFill="1" applyBorder="1" applyAlignment="1">
      <alignment vertical="center"/>
    </xf>
    <xf numFmtId="0" fontId="3" fillId="0" borderId="23" xfId="0" applyFont="1" applyBorder="1"/>
    <xf numFmtId="0" fontId="3" fillId="4" borderId="26" xfId="0" applyFont="1" applyFill="1" applyBorder="1"/>
    <xf numFmtId="0" fontId="4" fillId="4" borderId="27" xfId="0" applyFont="1" applyFill="1" applyBorder="1"/>
    <xf numFmtId="44" fontId="4" fillId="4" borderId="34" xfId="1" applyFont="1" applyFill="1" applyBorder="1" applyAlignment="1">
      <alignment horizontal="center"/>
    </xf>
    <xf numFmtId="0" fontId="4" fillId="4" borderId="35" xfId="0" applyFont="1" applyFill="1" applyBorder="1"/>
    <xf numFmtId="0" fontId="4" fillId="0" borderId="0" xfId="0" applyFont="1" applyFill="1" applyBorder="1" applyAlignment="1">
      <alignment horizontal="center"/>
    </xf>
    <xf numFmtId="3" fontId="4" fillId="7" borderId="0" xfId="0" applyNumberFormat="1" applyFont="1" applyFill="1" applyBorder="1"/>
    <xf numFmtId="0" fontId="2" fillId="0" borderId="7" xfId="0" applyFont="1" applyFill="1" applyBorder="1"/>
    <xf numFmtId="3" fontId="6" fillId="0" borderId="20" xfId="0" applyNumberFormat="1" applyFont="1" applyFill="1" applyBorder="1"/>
    <xf numFmtId="0" fontId="13" fillId="2" borderId="22" xfId="0" applyFont="1" applyFill="1" applyBorder="1" applyAlignment="1">
      <alignment horizontal="left" indent="1"/>
    </xf>
    <xf numFmtId="0" fontId="3" fillId="0" borderId="0" xfId="0" applyFont="1" applyFill="1" applyBorder="1"/>
    <xf numFmtId="3" fontId="8" fillId="2" borderId="1" xfId="0" applyNumberFormat="1" applyFont="1" applyFill="1" applyBorder="1"/>
    <xf numFmtId="0" fontId="10" fillId="0" borderId="22" xfId="0" applyFont="1" applyBorder="1" applyAlignment="1">
      <alignment horizontal="right" wrapText="1"/>
    </xf>
    <xf numFmtId="3" fontId="10" fillId="0" borderId="1" xfId="0" applyNumberFormat="1" applyFont="1" applyFill="1" applyBorder="1"/>
    <xf numFmtId="3" fontId="10" fillId="0" borderId="22" xfId="0" applyNumberFormat="1" applyFont="1" applyFill="1" applyBorder="1"/>
    <xf numFmtId="0" fontId="4" fillId="0" borderId="19" xfId="0" applyFont="1" applyBorder="1" applyAlignment="1">
      <alignment vertical="center" wrapText="1"/>
    </xf>
    <xf numFmtId="3" fontId="3" fillId="0" borderId="33" xfId="0" applyNumberFormat="1" applyFont="1" applyBorder="1"/>
    <xf numFmtId="3" fontId="4" fillId="0" borderId="33" xfId="0" applyNumberFormat="1" applyFont="1" applyBorder="1"/>
    <xf numFmtId="0" fontId="2" fillId="0" borderId="8" xfId="0" applyFont="1" applyBorder="1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/>
    <xf numFmtId="3" fontId="11" fillId="8" borderId="1" xfId="0" applyNumberFormat="1" applyFont="1" applyFill="1" applyBorder="1"/>
    <xf numFmtId="3" fontId="11" fillId="0" borderId="11" xfId="0" applyNumberFormat="1" applyFont="1" applyBorder="1"/>
    <xf numFmtId="0" fontId="4" fillId="0" borderId="32" xfId="0" applyFont="1" applyBorder="1" applyAlignment="1">
      <alignment wrapText="1"/>
    </xf>
    <xf numFmtId="3" fontId="4" fillId="0" borderId="32" xfId="0" applyNumberFormat="1" applyFont="1" applyBorder="1"/>
    <xf numFmtId="0" fontId="3" fillId="8" borderId="1" xfId="0" applyFont="1" applyFill="1" applyBorder="1"/>
    <xf numFmtId="0" fontId="4" fillId="8" borderId="32" xfId="0" applyFont="1" applyFill="1" applyBorder="1" applyAlignment="1">
      <alignment wrapText="1"/>
    </xf>
    <xf numFmtId="3" fontId="4" fillId="8" borderId="32" xfId="0" applyNumberFormat="1" applyFont="1" applyFill="1" applyBorder="1"/>
    <xf numFmtId="0" fontId="4" fillId="0" borderId="8" xfId="0" applyFont="1" applyBorder="1"/>
    <xf numFmtId="3" fontId="3" fillId="0" borderId="9" xfId="0" quotePrefix="1" applyNumberFormat="1" applyFont="1" applyBorder="1"/>
    <xf numFmtId="3" fontId="4" fillId="0" borderId="9" xfId="0" quotePrefix="1" applyNumberFormat="1" applyFont="1" applyBorder="1"/>
    <xf numFmtId="0" fontId="4" fillId="0" borderId="37" xfId="0" applyFont="1" applyBorder="1"/>
    <xf numFmtId="0" fontId="4" fillId="0" borderId="34" xfId="0" applyFont="1" applyBorder="1" applyAlignment="1">
      <alignment horizontal="center"/>
    </xf>
    <xf numFmtId="3" fontId="3" fillId="0" borderId="34" xfId="0" quotePrefix="1" applyNumberFormat="1" applyFont="1" applyBorder="1"/>
    <xf numFmtId="3" fontId="4" fillId="0" borderId="34" xfId="0" quotePrefix="1" applyNumberFormat="1" applyFont="1" applyBorder="1"/>
    <xf numFmtId="3" fontId="4" fillId="0" borderId="34" xfId="0" applyNumberFormat="1" applyFont="1" applyBorder="1"/>
    <xf numFmtId="0" fontId="4" fillId="8" borderId="22" xfId="0" applyFont="1" applyFill="1" applyBorder="1" applyAlignment="1">
      <alignment horizontal="left"/>
    </xf>
    <xf numFmtId="3" fontId="3" fillId="8" borderId="22" xfId="0" applyNumberFormat="1" applyFont="1" applyFill="1" applyBorder="1"/>
    <xf numFmtId="3" fontId="3" fillId="8" borderId="1" xfId="0" applyNumberFormat="1" applyFont="1" applyFill="1" applyBorder="1" applyAlignment="1">
      <alignment horizontal="center"/>
    </xf>
    <xf numFmtId="3" fontId="3" fillId="8" borderId="1" xfId="0" applyNumberFormat="1" applyFont="1" applyFill="1" applyBorder="1"/>
    <xf numFmtId="3" fontId="4" fillId="8" borderId="20" xfId="0" applyNumberFormat="1" applyFont="1" applyFill="1" applyBorder="1"/>
    <xf numFmtId="3" fontId="4" fillId="0" borderId="20" xfId="0" applyNumberFormat="1" applyFont="1" applyFill="1" applyBorder="1"/>
    <xf numFmtId="0" fontId="2" fillId="0" borderId="0" xfId="0" applyFont="1" applyFill="1" applyBorder="1"/>
    <xf numFmtId="0" fontId="3" fillId="7" borderId="1" xfId="0" applyFont="1" applyFill="1" applyBorder="1"/>
    <xf numFmtId="0" fontId="2" fillId="7" borderId="8" xfId="0" applyFont="1" applyFill="1" applyBorder="1"/>
    <xf numFmtId="0" fontId="3" fillId="7" borderId="9" xfId="0" applyFont="1" applyFill="1" applyBorder="1"/>
    <xf numFmtId="0" fontId="4" fillId="7" borderId="0" xfId="0" applyFont="1" applyFill="1" applyBorder="1"/>
    <xf numFmtId="3" fontId="4" fillId="4" borderId="34" xfId="0" applyNumberFormat="1" applyFont="1" applyFill="1" applyBorder="1"/>
    <xf numFmtId="0" fontId="4" fillId="8" borderId="22" xfId="0" applyFont="1" applyFill="1" applyBorder="1"/>
    <xf numFmtId="0" fontId="2" fillId="7" borderId="21" xfId="0" applyFont="1" applyFill="1" applyBorder="1"/>
    <xf numFmtId="3" fontId="3" fillId="0" borderId="22" xfId="0" applyNumberFormat="1" applyFont="1" applyFill="1" applyBorder="1" applyAlignment="1">
      <alignment wrapText="1"/>
    </xf>
    <xf numFmtId="3" fontId="3" fillId="7" borderId="22" xfId="0" applyNumberFormat="1" applyFont="1" applyFill="1" applyBorder="1" applyAlignment="1">
      <alignment wrapText="1"/>
    </xf>
    <xf numFmtId="3" fontId="3" fillId="7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/>
    <xf numFmtId="3" fontId="4" fillId="2" borderId="1" xfId="0" applyNumberFormat="1" applyFont="1" applyFill="1" applyBorder="1"/>
    <xf numFmtId="3" fontId="30" fillId="2" borderId="11" xfId="0" applyNumberFormat="1" applyFont="1" applyFill="1" applyBorder="1"/>
    <xf numFmtId="3" fontId="11" fillId="4" borderId="34" xfId="0" applyNumberFormat="1" applyFont="1" applyFill="1" applyBorder="1"/>
    <xf numFmtId="3" fontId="30" fillId="0" borderId="11" xfId="0" applyNumberFormat="1" applyFont="1" applyFill="1" applyBorder="1"/>
    <xf numFmtId="4" fontId="5" fillId="0" borderId="0" xfId="0" applyNumberFormat="1" applyFont="1" applyBorder="1"/>
    <xf numFmtId="0" fontId="4" fillId="8" borderId="22" xfId="0" applyFont="1" applyFill="1" applyBorder="1" applyAlignment="1">
      <alignment vertical="center" wrapText="1"/>
    </xf>
    <xf numFmtId="3" fontId="10" fillId="8" borderId="1" xfId="0" applyNumberFormat="1" applyFont="1" applyFill="1" applyBorder="1"/>
    <xf numFmtId="0" fontId="4" fillId="7" borderId="22" xfId="0" applyFont="1" applyFill="1" applyBorder="1" applyAlignment="1">
      <alignment vertical="center" wrapText="1"/>
    </xf>
    <xf numFmtId="0" fontId="4" fillId="0" borderId="26" xfId="0" applyFont="1" applyFill="1" applyBorder="1"/>
    <xf numFmtId="0" fontId="2" fillId="0" borderId="7" xfId="0" applyFont="1" applyBorder="1"/>
    <xf numFmtId="0" fontId="17" fillId="0" borderId="0" xfId="0" applyFont="1" applyFill="1" applyBorder="1"/>
    <xf numFmtId="3" fontId="6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11" xfId="0" applyNumberFormat="1" applyFont="1" applyFill="1" applyBorder="1"/>
    <xf numFmtId="3" fontId="11" fillId="0" borderId="11" xfId="0" applyNumberFormat="1" applyFont="1" applyFill="1" applyBorder="1"/>
    <xf numFmtId="0" fontId="4" fillId="0" borderId="38" xfId="0" applyFont="1" applyBorder="1" applyAlignment="1">
      <alignment horizontal="center"/>
    </xf>
    <xf numFmtId="3" fontId="4" fillId="0" borderId="38" xfId="0" applyNumberFormat="1" applyFont="1" applyBorder="1"/>
    <xf numFmtId="3" fontId="30" fillId="0" borderId="11" xfId="0" applyNumberFormat="1" applyFont="1" applyBorder="1"/>
    <xf numFmtId="3" fontId="11" fillId="9" borderId="1" xfId="0" applyNumberFormat="1" applyFont="1" applyFill="1" applyBorder="1"/>
    <xf numFmtId="3" fontId="30" fillId="2" borderId="1" xfId="0" applyNumberFormat="1" applyFont="1" applyFill="1" applyBorder="1"/>
    <xf numFmtId="3" fontId="11" fillId="2" borderId="11" xfId="0" applyNumberFormat="1" applyFont="1" applyFill="1" applyBorder="1"/>
    <xf numFmtId="3" fontId="11" fillId="0" borderId="38" xfId="0" applyNumberFormat="1" applyFont="1" applyBorder="1"/>
    <xf numFmtId="3" fontId="30" fillId="5" borderId="15" xfId="0" applyNumberFormat="1" applyFont="1" applyFill="1" applyBorder="1"/>
    <xf numFmtId="3" fontId="30" fillId="5" borderId="30" xfId="0" applyNumberFormat="1" applyFont="1" applyFill="1" applyBorder="1"/>
    <xf numFmtId="0" fontId="4" fillId="7" borderId="11" xfId="0" applyFont="1" applyFill="1" applyBorder="1" applyAlignment="1">
      <alignment horizontal="center"/>
    </xf>
    <xf numFmtId="3" fontId="4" fillId="7" borderId="11" xfId="0" applyNumberFormat="1" applyFont="1" applyFill="1" applyBorder="1"/>
    <xf numFmtId="3" fontId="4" fillId="0" borderId="29" xfId="0" applyNumberFormat="1" applyFont="1" applyBorder="1"/>
    <xf numFmtId="0" fontId="3" fillId="0" borderId="38" xfId="0" applyFont="1" applyBorder="1"/>
    <xf numFmtId="0" fontId="4" fillId="0" borderId="29" xfId="0" applyFont="1" applyBorder="1" applyAlignment="1">
      <alignment vertical="center" wrapText="1"/>
    </xf>
    <xf numFmtId="3" fontId="4" fillId="0" borderId="38" xfId="0" applyNumberFormat="1" applyFont="1" applyFill="1" applyBorder="1"/>
    <xf numFmtId="0" fontId="3" fillId="4" borderId="1" xfId="0" applyFont="1" applyFill="1" applyBorder="1"/>
    <xf numFmtId="0" fontId="4" fillId="4" borderId="32" xfId="0" applyFont="1" applyFill="1" applyBorder="1"/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3" fontId="11" fillId="4" borderId="1" xfId="0" applyNumberFormat="1" applyFont="1" applyFill="1" applyBorder="1"/>
    <xf numFmtId="3" fontId="23" fillId="6" borderId="39" xfId="0" applyNumberFormat="1" applyFont="1" applyFill="1" applyBorder="1"/>
    <xf numFmtId="3" fontId="6" fillId="0" borderId="39" xfId="0" applyNumberFormat="1" applyFont="1" applyFill="1" applyBorder="1"/>
    <xf numFmtId="3" fontId="4" fillId="0" borderId="38" xfId="0" applyNumberFormat="1" applyFont="1" applyBorder="1" applyAlignment="1">
      <alignment horizontal="center"/>
    </xf>
    <xf numFmtId="0" fontId="4" fillId="4" borderId="23" xfId="0" applyFont="1" applyFill="1" applyBorder="1"/>
    <xf numFmtId="0" fontId="31" fillId="0" borderId="0" xfId="3" applyFont="1" applyAlignment="1">
      <alignment vertical="center"/>
    </xf>
    <xf numFmtId="0" fontId="32" fillId="0" borderId="0" xfId="3" applyFont="1" applyFill="1" applyAlignment="1" applyProtection="1">
      <alignment vertical="center"/>
      <protection locked="0"/>
    </xf>
    <xf numFmtId="0" fontId="33" fillId="0" borderId="0" xfId="3" applyFont="1" applyAlignment="1" applyProtection="1">
      <alignment vertical="center"/>
      <protection locked="0"/>
    </xf>
    <xf numFmtId="4" fontId="34" fillId="0" borderId="0" xfId="3" applyNumberFormat="1" applyFont="1" applyBorder="1" applyAlignment="1" applyProtection="1">
      <alignment vertical="center"/>
      <protection locked="0"/>
    </xf>
    <xf numFmtId="4" fontId="35" fillId="0" borderId="0" xfId="3" applyNumberFormat="1" applyFont="1" applyBorder="1" applyAlignment="1" applyProtection="1">
      <alignment vertical="center"/>
      <protection locked="0"/>
    </xf>
    <xf numFmtId="0" fontId="33" fillId="0" borderId="0" xfId="3" applyFont="1" applyAlignment="1">
      <alignment vertical="center"/>
    </xf>
    <xf numFmtId="14" fontId="33" fillId="0" borderId="0" xfId="3" applyNumberFormat="1" applyFont="1" applyAlignment="1">
      <alignment vertical="center"/>
    </xf>
    <xf numFmtId="0" fontId="29" fillId="0" borderId="0" xfId="3"/>
    <xf numFmtId="0" fontId="37" fillId="0" borderId="42" xfId="3" applyFont="1" applyBorder="1" applyAlignment="1">
      <alignment vertical="center"/>
    </xf>
    <xf numFmtId="0" fontId="36" fillId="0" borderId="42" xfId="3" applyFont="1" applyBorder="1" applyAlignment="1">
      <alignment vertical="center" wrapText="1"/>
    </xf>
    <xf numFmtId="0" fontId="38" fillId="0" borderId="43" xfId="4" applyFont="1" applyFill="1" applyBorder="1" applyAlignment="1" applyProtection="1">
      <alignment horizontal="left" vertical="center"/>
      <protection locked="0"/>
    </xf>
    <xf numFmtId="0" fontId="39" fillId="0" borderId="44" xfId="4" applyFont="1" applyFill="1" applyBorder="1" applyAlignment="1" applyProtection="1">
      <alignment horizontal="right" vertical="center"/>
      <protection locked="0"/>
    </xf>
    <xf numFmtId="14" fontId="40" fillId="0" borderId="44" xfId="4" applyNumberFormat="1" applyFont="1" applyFill="1" applyBorder="1" applyAlignment="1" applyProtection="1">
      <alignment horizontal="left" vertical="center"/>
      <protection locked="0"/>
    </xf>
    <xf numFmtId="0" fontId="33" fillId="0" borderId="48" xfId="3" applyFont="1" applyBorder="1" applyAlignment="1">
      <alignment horizontal="center" vertical="center"/>
    </xf>
    <xf numFmtId="0" fontId="42" fillId="0" borderId="49" xfId="3" applyFont="1" applyBorder="1" applyAlignment="1">
      <alignment horizontal="left" vertical="center"/>
    </xf>
    <xf numFmtId="0" fontId="38" fillId="0" borderId="2" xfId="3" applyFont="1" applyBorder="1" applyAlignment="1">
      <alignment vertical="center"/>
    </xf>
    <xf numFmtId="0" fontId="42" fillId="0" borderId="0" xfId="4" applyFont="1" applyFill="1" applyBorder="1" applyAlignment="1" applyProtection="1">
      <alignment horizontal="left" vertical="center"/>
      <protection locked="0"/>
    </xf>
    <xf numFmtId="0" fontId="33" fillId="0" borderId="53" xfId="3" applyFont="1" applyBorder="1" applyAlignment="1">
      <alignment horizontal="center" vertical="center"/>
    </xf>
    <xf numFmtId="0" fontId="33" fillId="0" borderId="51" xfId="3" applyFont="1" applyBorder="1" applyAlignment="1">
      <alignment horizontal="center" vertical="center"/>
    </xf>
    <xf numFmtId="0" fontId="33" fillId="0" borderId="52" xfId="3" applyFont="1" applyBorder="1" applyAlignment="1">
      <alignment horizontal="center" vertical="center"/>
    </xf>
    <xf numFmtId="0" fontId="43" fillId="10" borderId="54" xfId="4" applyFont="1" applyFill="1" applyBorder="1" applyAlignment="1">
      <alignment horizontal="left" vertical="center"/>
    </xf>
    <xf numFmtId="0" fontId="43" fillId="10" borderId="55" xfId="4" applyFont="1" applyFill="1" applyBorder="1" applyAlignment="1">
      <alignment horizontal="left" vertical="center"/>
    </xf>
    <xf numFmtId="0" fontId="43" fillId="10" borderId="56" xfId="4" applyFont="1" applyFill="1" applyBorder="1" applyAlignment="1">
      <alignment vertical="center"/>
    </xf>
    <xf numFmtId="3" fontId="44" fillId="10" borderId="56" xfId="4" applyNumberFormat="1" applyFont="1" applyFill="1" applyBorder="1" applyAlignment="1" applyProtection="1">
      <alignment vertical="center"/>
    </xf>
    <xf numFmtId="3" fontId="44" fillId="10" borderId="57" xfId="4" applyNumberFormat="1" applyFont="1" applyFill="1" applyBorder="1" applyAlignment="1" applyProtection="1">
      <alignment vertical="center"/>
    </xf>
    <xf numFmtId="9" fontId="44" fillId="10" borderId="58" xfId="4" applyNumberFormat="1" applyFont="1" applyFill="1" applyBorder="1" applyAlignment="1" applyProtection="1">
      <alignment vertical="center"/>
    </xf>
    <xf numFmtId="3" fontId="44" fillId="10" borderId="53" xfId="4" applyNumberFormat="1" applyFont="1" applyFill="1" applyBorder="1" applyAlignment="1" applyProtection="1">
      <alignment vertical="center"/>
    </xf>
    <xf numFmtId="3" fontId="44" fillId="10" borderId="59" xfId="4" applyNumberFormat="1" applyFont="1" applyFill="1" applyBorder="1" applyAlignment="1" applyProtection="1">
      <alignment vertical="center"/>
    </xf>
    <xf numFmtId="9" fontId="44" fillId="10" borderId="60" xfId="4" applyNumberFormat="1" applyFont="1" applyFill="1" applyBorder="1" applyAlignment="1" applyProtection="1">
      <alignment vertical="center"/>
    </xf>
    <xf numFmtId="0" fontId="45" fillId="11" borderId="49" xfId="3" applyFont="1" applyFill="1" applyBorder="1" applyAlignment="1">
      <alignment horizontal="left" vertical="center"/>
    </xf>
    <xf numFmtId="0" fontId="45" fillId="11" borderId="2" xfId="3" applyFont="1" applyFill="1" applyBorder="1" applyAlignment="1">
      <alignment horizontal="left" vertical="center"/>
    </xf>
    <xf numFmtId="0" fontId="43" fillId="11" borderId="2" xfId="4" applyFont="1" applyFill="1" applyBorder="1" applyAlignment="1">
      <alignment vertical="center"/>
    </xf>
    <xf numFmtId="3" fontId="44" fillId="11" borderId="61" xfId="4" applyNumberFormat="1" applyFont="1" applyFill="1" applyBorder="1" applyAlignment="1" applyProtection="1">
      <alignment vertical="center"/>
    </xf>
    <xf numFmtId="3" fontId="44" fillId="11" borderId="6" xfId="4" applyNumberFormat="1" applyFont="1" applyFill="1" applyBorder="1" applyAlignment="1" applyProtection="1">
      <alignment vertical="center"/>
    </xf>
    <xf numFmtId="9" fontId="44" fillId="11" borderId="62" xfId="4" applyNumberFormat="1" applyFont="1" applyFill="1" applyBorder="1" applyAlignment="1" applyProtection="1">
      <alignment vertical="center"/>
    </xf>
    <xf numFmtId="3" fontId="44" fillId="11" borderId="36" xfId="4" applyNumberFormat="1" applyFont="1" applyFill="1" applyBorder="1" applyAlignment="1" applyProtection="1">
      <alignment vertical="center"/>
    </xf>
    <xf numFmtId="9" fontId="44" fillId="11" borderId="63" xfId="4" applyNumberFormat="1" applyFont="1" applyFill="1" applyBorder="1" applyAlignment="1" applyProtection="1">
      <alignment vertical="center"/>
    </xf>
    <xf numFmtId="0" fontId="38" fillId="0" borderId="64" xfId="4" applyFont="1" applyFill="1" applyBorder="1" applyAlignment="1">
      <alignment horizontal="left" vertical="center"/>
    </xf>
    <xf numFmtId="0" fontId="38" fillId="0" borderId="0" xfId="4" applyFont="1" applyFill="1" applyBorder="1" applyAlignment="1">
      <alignment horizontal="left" vertical="center"/>
    </xf>
    <xf numFmtId="0" fontId="46" fillId="0" borderId="0" xfId="4" applyFont="1" applyFill="1" applyBorder="1" applyAlignment="1">
      <alignment vertical="center"/>
    </xf>
    <xf numFmtId="3" fontId="47" fillId="0" borderId="65" xfId="4" applyNumberFormat="1" applyFont="1" applyFill="1" applyBorder="1" applyAlignment="1" applyProtection="1">
      <alignment vertical="center"/>
      <protection locked="0"/>
    </xf>
    <xf numFmtId="3" fontId="47" fillId="0" borderId="18" xfId="4" applyNumberFormat="1" applyFont="1" applyFill="1" applyBorder="1" applyAlignment="1" applyProtection="1">
      <alignment vertical="center"/>
      <protection locked="0"/>
    </xf>
    <xf numFmtId="9" fontId="47" fillId="0" borderId="66" xfId="4" applyNumberFormat="1" applyFont="1" applyFill="1" applyBorder="1" applyAlignment="1" applyProtection="1">
      <alignment vertical="center"/>
      <protection locked="0"/>
    </xf>
    <xf numFmtId="3" fontId="47" fillId="0" borderId="0" xfId="4" applyNumberFormat="1" applyFont="1" applyFill="1" applyBorder="1" applyAlignment="1" applyProtection="1">
      <alignment vertical="center"/>
      <protection locked="0"/>
    </xf>
    <xf numFmtId="3" fontId="29" fillId="0" borderId="0" xfId="3" applyNumberFormat="1"/>
    <xf numFmtId="3" fontId="47" fillId="0" borderId="64" xfId="4" applyNumberFormat="1" applyFont="1" applyFill="1" applyBorder="1" applyAlignment="1" applyProtection="1">
      <alignment vertical="center"/>
      <protection locked="0"/>
    </xf>
    <xf numFmtId="3" fontId="47" fillId="0" borderId="24" xfId="4" applyNumberFormat="1" applyFont="1" applyFill="1" applyBorder="1" applyAlignment="1" applyProtection="1">
      <alignment vertical="center"/>
      <protection locked="0"/>
    </xf>
    <xf numFmtId="0" fontId="46" fillId="0" borderId="0" xfId="3" applyFont="1" applyFill="1" applyBorder="1" applyAlignment="1">
      <alignment vertical="center"/>
    </xf>
    <xf numFmtId="3" fontId="47" fillId="0" borderId="49" xfId="4" applyNumberFormat="1" applyFont="1" applyFill="1" applyBorder="1" applyAlignment="1" applyProtection="1">
      <alignment vertical="center"/>
      <protection locked="0"/>
    </xf>
    <xf numFmtId="3" fontId="47" fillId="0" borderId="28" xfId="4" applyNumberFormat="1" applyFont="1" applyFill="1" applyBorder="1" applyAlignment="1" applyProtection="1">
      <alignment vertical="center"/>
      <protection locked="0"/>
    </xf>
    <xf numFmtId="0" fontId="45" fillId="11" borderId="61" xfId="4" applyFont="1" applyFill="1" applyBorder="1" applyAlignment="1">
      <alignment horizontal="left" vertical="center"/>
    </xf>
    <xf numFmtId="0" fontId="45" fillId="11" borderId="5" xfId="4" applyFont="1" applyFill="1" applyBorder="1" applyAlignment="1">
      <alignment horizontal="left" vertical="center"/>
    </xf>
    <xf numFmtId="0" fontId="43" fillId="11" borderId="5" xfId="4" applyFont="1" applyFill="1" applyBorder="1" applyAlignment="1">
      <alignment vertical="center"/>
    </xf>
    <xf numFmtId="3" fontId="44" fillId="11" borderId="5" xfId="4" applyNumberFormat="1" applyFont="1" applyFill="1" applyBorder="1" applyAlignment="1" applyProtection="1">
      <alignment vertical="center"/>
    </xf>
    <xf numFmtId="3" fontId="44" fillId="11" borderId="67" xfId="4" applyNumberFormat="1" applyFont="1" applyFill="1" applyBorder="1" applyAlignment="1" applyProtection="1">
      <alignment vertical="center"/>
    </xf>
    <xf numFmtId="9" fontId="44" fillId="11" borderId="68" xfId="4" applyNumberFormat="1" applyFont="1" applyFill="1" applyBorder="1" applyAlignment="1" applyProtection="1">
      <alignment vertical="center"/>
    </xf>
    <xf numFmtId="0" fontId="46" fillId="0" borderId="64" xfId="4" applyFont="1" applyFill="1" applyBorder="1" applyAlignment="1">
      <alignment horizontal="left" vertical="center"/>
    </xf>
    <xf numFmtId="0" fontId="45" fillId="0" borderId="0" xfId="4" applyFont="1" applyFill="1" applyBorder="1" applyAlignment="1">
      <alignment horizontal="left" vertical="center"/>
    </xf>
    <xf numFmtId="0" fontId="46" fillId="0" borderId="69" xfId="4" applyFont="1" applyFill="1" applyBorder="1" applyAlignment="1">
      <alignment horizontal="left" vertical="center"/>
    </xf>
    <xf numFmtId="9" fontId="47" fillId="0" borderId="66" xfId="4" applyNumberFormat="1" applyFont="1" applyFill="1" applyBorder="1" applyAlignment="1" applyProtection="1">
      <alignment horizontal="right" vertical="center"/>
      <protection locked="0"/>
    </xf>
    <xf numFmtId="3" fontId="47" fillId="0" borderId="54" xfId="4" applyNumberFormat="1" applyFont="1" applyFill="1" applyBorder="1" applyAlignment="1" applyProtection="1">
      <alignment vertical="center"/>
      <protection locked="0"/>
    </xf>
    <xf numFmtId="3" fontId="47" fillId="0" borderId="70" xfId="4" applyNumberFormat="1" applyFont="1" applyFill="1" applyBorder="1" applyAlignment="1" applyProtection="1">
      <alignment vertical="center"/>
      <protection locked="0"/>
    </xf>
    <xf numFmtId="3" fontId="47" fillId="0" borderId="0" xfId="4" applyNumberFormat="1" applyFont="1" applyFill="1" applyBorder="1" applyAlignment="1" applyProtection="1">
      <alignment vertical="center"/>
    </xf>
    <xf numFmtId="9" fontId="47" fillId="0" borderId="66" xfId="4" applyNumberFormat="1" applyFont="1" applyFill="1" applyBorder="1" applyAlignment="1" applyProtection="1">
      <alignment vertical="center"/>
    </xf>
    <xf numFmtId="0" fontId="43" fillId="10" borderId="56" xfId="4" applyFont="1" applyFill="1" applyBorder="1" applyAlignment="1">
      <alignment horizontal="left" vertical="center"/>
    </xf>
    <xf numFmtId="0" fontId="43" fillId="10" borderId="41" xfId="4" applyFont="1" applyFill="1" applyBorder="1" applyAlignment="1">
      <alignment horizontal="left" vertical="center"/>
    </xf>
    <xf numFmtId="0" fontId="43" fillId="10" borderId="41" xfId="4" applyFont="1" applyFill="1" applyBorder="1" applyAlignment="1">
      <alignment vertical="center"/>
    </xf>
    <xf numFmtId="9" fontId="43" fillId="10" borderId="71" xfId="3" applyNumberFormat="1" applyFont="1" applyFill="1" applyBorder="1" applyAlignment="1">
      <alignment vertical="center"/>
    </xf>
    <xf numFmtId="9" fontId="43" fillId="10" borderId="60" xfId="3" applyNumberFormat="1" applyFont="1" applyFill="1" applyBorder="1" applyAlignment="1">
      <alignment vertical="center"/>
    </xf>
    <xf numFmtId="0" fontId="45" fillId="11" borderId="43" xfId="4" applyFont="1" applyFill="1" applyBorder="1" applyAlignment="1">
      <alignment horizontal="left" vertical="center"/>
    </xf>
    <xf numFmtId="0" fontId="45" fillId="11" borderId="44" xfId="4" applyFont="1" applyFill="1" applyBorder="1" applyAlignment="1">
      <alignment horizontal="left" vertical="center"/>
    </xf>
    <xf numFmtId="0" fontId="43" fillId="11" borderId="44" xfId="4" applyFont="1" applyFill="1" applyBorder="1" applyAlignment="1">
      <alignment vertical="center"/>
    </xf>
    <xf numFmtId="3" fontId="44" fillId="11" borderId="43" xfId="4" applyNumberFormat="1" applyFont="1" applyFill="1" applyBorder="1" applyAlignment="1" applyProtection="1">
      <alignment vertical="center"/>
    </xf>
    <xf numFmtId="3" fontId="44" fillId="11" borderId="48" xfId="4" applyNumberFormat="1" applyFont="1" applyFill="1" applyBorder="1" applyAlignment="1" applyProtection="1">
      <alignment vertical="center"/>
    </xf>
    <xf numFmtId="9" fontId="43" fillId="11" borderId="72" xfId="4" applyNumberFormat="1" applyFont="1" applyFill="1" applyBorder="1" applyAlignment="1">
      <alignment vertical="center"/>
    </xf>
    <xf numFmtId="3" fontId="44" fillId="11" borderId="44" xfId="4" applyNumberFormat="1" applyFont="1" applyFill="1" applyBorder="1" applyAlignment="1" applyProtection="1">
      <alignment vertical="center"/>
    </xf>
    <xf numFmtId="0" fontId="38" fillId="12" borderId="64" xfId="4" applyFont="1" applyFill="1" applyBorder="1" applyAlignment="1">
      <alignment horizontal="left" vertical="center"/>
    </xf>
    <xf numFmtId="0" fontId="38" fillId="12" borderId="0" xfId="4" applyFont="1" applyFill="1" applyBorder="1" applyAlignment="1">
      <alignment horizontal="left" vertical="center"/>
    </xf>
    <xf numFmtId="0" fontId="46" fillId="12" borderId="0" xfId="4" applyFont="1" applyFill="1" applyBorder="1" applyAlignment="1">
      <alignment vertical="center"/>
    </xf>
    <xf numFmtId="3" fontId="47" fillId="12" borderId="64" xfId="4" applyNumberFormat="1" applyFont="1" applyFill="1" applyBorder="1" applyAlignment="1" applyProtection="1">
      <alignment vertical="center"/>
      <protection locked="0"/>
    </xf>
    <xf numFmtId="3" fontId="47" fillId="12" borderId="24" xfId="4" applyNumberFormat="1" applyFont="1" applyFill="1" applyBorder="1" applyAlignment="1" applyProtection="1">
      <alignment vertical="center"/>
      <protection locked="0"/>
    </xf>
    <xf numFmtId="9" fontId="47" fillId="12" borderId="66" xfId="4" applyNumberFormat="1" applyFont="1" applyFill="1" applyBorder="1" applyAlignment="1" applyProtection="1">
      <alignment vertical="center"/>
      <protection locked="0"/>
    </xf>
    <xf numFmtId="3" fontId="47" fillId="12" borderId="0" xfId="4" applyNumberFormat="1" applyFont="1" applyFill="1" applyBorder="1" applyAlignment="1" applyProtection="1">
      <alignment vertical="center"/>
      <protection locked="0"/>
    </xf>
    <xf numFmtId="9" fontId="47" fillId="12" borderId="66" xfId="5" applyFont="1" applyFill="1" applyBorder="1" applyAlignment="1" applyProtection="1">
      <alignment vertical="center"/>
      <protection locked="0"/>
    </xf>
    <xf numFmtId="0" fontId="48" fillId="0" borderId="0" xfId="3" applyFont="1"/>
    <xf numFmtId="3" fontId="48" fillId="0" borderId="0" xfId="3" applyNumberFormat="1" applyFont="1"/>
    <xf numFmtId="0" fontId="38" fillId="0" borderId="54" xfId="4" applyFont="1" applyFill="1" applyBorder="1" applyAlignment="1">
      <alignment horizontal="left" vertical="center"/>
    </xf>
    <xf numFmtId="0" fontId="38" fillId="0" borderId="55" xfId="4" applyFont="1" applyFill="1" applyBorder="1" applyAlignment="1">
      <alignment horizontal="left" vertical="center"/>
    </xf>
    <xf numFmtId="0" fontId="46" fillId="0" borderId="55" xfId="4" applyFont="1" applyFill="1" applyBorder="1" applyAlignment="1">
      <alignment vertical="center"/>
    </xf>
    <xf numFmtId="3" fontId="38" fillId="0" borderId="0" xfId="3" applyNumberFormat="1" applyFont="1" applyFill="1" applyBorder="1" applyAlignment="1">
      <alignment vertical="center"/>
    </xf>
    <xf numFmtId="9" fontId="38" fillId="0" borderId="66" xfId="3" applyNumberFormat="1" applyFont="1" applyFill="1" applyBorder="1" applyAlignment="1">
      <alignment vertical="center"/>
    </xf>
    <xf numFmtId="0" fontId="43" fillId="13" borderId="54" xfId="3" applyFont="1" applyFill="1" applyBorder="1" applyAlignment="1">
      <alignment horizontal="left" vertical="center"/>
    </xf>
    <xf numFmtId="0" fontId="43" fillId="13" borderId="55" xfId="3" applyFont="1" applyFill="1" applyBorder="1" applyAlignment="1">
      <alignment horizontal="left" vertical="center"/>
    </xf>
    <xf numFmtId="0" fontId="38" fillId="13" borderId="55" xfId="3" applyFont="1" applyFill="1" applyBorder="1" applyAlignment="1">
      <alignment vertical="center"/>
    </xf>
    <xf numFmtId="3" fontId="43" fillId="13" borderId="56" xfId="3" applyNumberFormat="1" applyFont="1" applyFill="1" applyBorder="1" applyAlignment="1">
      <alignment vertical="center"/>
    </xf>
    <xf numFmtId="3" fontId="43" fillId="13" borderId="57" xfId="3" applyNumberFormat="1" applyFont="1" applyFill="1" applyBorder="1" applyAlignment="1">
      <alignment vertical="center"/>
    </xf>
    <xf numFmtId="9" fontId="43" fillId="13" borderId="71" xfId="3" applyNumberFormat="1" applyFont="1" applyFill="1" applyBorder="1" applyAlignment="1">
      <alignment vertical="center"/>
    </xf>
    <xf numFmtId="3" fontId="43" fillId="13" borderId="41" xfId="3" applyNumberFormat="1" applyFont="1" applyFill="1" applyBorder="1" applyAlignment="1">
      <alignment vertical="center"/>
    </xf>
    <xf numFmtId="9" fontId="43" fillId="13" borderId="60" xfId="3" applyNumberFormat="1" applyFont="1" applyFill="1" applyBorder="1" applyAlignment="1">
      <alignment vertical="center"/>
    </xf>
    <xf numFmtId="0" fontId="43" fillId="10" borderId="56" xfId="3" applyFont="1" applyFill="1" applyBorder="1" applyAlignment="1">
      <alignment horizontal="left" vertical="center"/>
    </xf>
    <xf numFmtId="0" fontId="43" fillId="10" borderId="41" xfId="3" applyFont="1" applyFill="1" applyBorder="1" applyAlignment="1">
      <alignment horizontal="left" vertical="center"/>
    </xf>
    <xf numFmtId="0" fontId="38" fillId="10" borderId="41" xfId="3" applyFont="1" applyFill="1" applyBorder="1" applyAlignment="1">
      <alignment vertical="center"/>
    </xf>
    <xf numFmtId="3" fontId="43" fillId="10" borderId="56" xfId="3" applyNumberFormat="1" applyFont="1" applyFill="1" applyBorder="1" applyAlignment="1">
      <alignment vertical="center"/>
    </xf>
    <xf numFmtId="0" fontId="33" fillId="12" borderId="0" xfId="4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38" fillId="0" borderId="64" xfId="3" applyFont="1" applyFill="1" applyBorder="1" applyAlignment="1">
      <alignment horizontal="left" vertical="center"/>
    </xf>
    <xf numFmtId="0" fontId="38" fillId="9" borderId="56" xfId="3" applyFont="1" applyFill="1" applyBorder="1" applyAlignment="1">
      <alignment horizontal="left" vertical="center"/>
    </xf>
    <xf numFmtId="0" fontId="43" fillId="13" borderId="41" xfId="4" applyFont="1" applyFill="1" applyBorder="1" applyAlignment="1">
      <alignment horizontal="left" vertical="center"/>
    </xf>
    <xf numFmtId="0" fontId="38" fillId="13" borderId="41" xfId="4" applyFont="1" applyFill="1" applyBorder="1" applyAlignment="1">
      <alignment vertical="center"/>
    </xf>
    <xf numFmtId="0" fontId="38" fillId="10" borderId="56" xfId="3" applyFont="1" applyFill="1" applyBorder="1" applyAlignment="1">
      <alignment horizontal="left" vertical="center"/>
    </xf>
    <xf numFmtId="49" fontId="38" fillId="0" borderId="75" xfId="4" applyNumberFormat="1" applyFont="1" applyFill="1" applyBorder="1" applyAlignment="1">
      <alignment horizontal="left" vertical="center"/>
    </xf>
    <xf numFmtId="49" fontId="38" fillId="0" borderId="76" xfId="4" applyNumberFormat="1" applyFont="1" applyFill="1" applyBorder="1" applyAlignment="1">
      <alignment horizontal="left" vertical="center"/>
    </xf>
    <xf numFmtId="0" fontId="46" fillId="0" borderId="33" xfId="4" applyFont="1" applyFill="1" applyBorder="1" applyAlignment="1">
      <alignment horizontal="left" vertical="center"/>
    </xf>
    <xf numFmtId="49" fontId="38" fillId="12" borderId="64" xfId="4" applyNumberFormat="1" applyFont="1" applyFill="1" applyBorder="1" applyAlignment="1">
      <alignment horizontal="left" vertical="center"/>
    </xf>
    <xf numFmtId="49" fontId="38" fillId="12" borderId="0" xfId="4" applyNumberFormat="1" applyFont="1" applyFill="1" applyBorder="1" applyAlignment="1">
      <alignment horizontal="left" vertical="center"/>
    </xf>
    <xf numFmtId="0" fontId="46" fillId="12" borderId="0" xfId="4" applyFont="1" applyFill="1" applyBorder="1" applyAlignment="1">
      <alignment horizontal="left" vertical="center"/>
    </xf>
    <xf numFmtId="9" fontId="47" fillId="12" borderId="66" xfId="4" applyNumberFormat="1" applyFont="1" applyFill="1" applyBorder="1" applyAlignment="1" applyProtection="1">
      <alignment horizontal="right" vertical="center"/>
      <protection locked="0"/>
    </xf>
    <xf numFmtId="49" fontId="38" fillId="0" borderId="77" xfId="4" applyNumberFormat="1" applyFont="1" applyFill="1" applyBorder="1" applyAlignment="1">
      <alignment horizontal="left" vertical="center"/>
    </xf>
    <xf numFmtId="49" fontId="38" fillId="0" borderId="33" xfId="4" applyNumberFormat="1" applyFont="1" applyFill="1" applyBorder="1" applyAlignment="1">
      <alignment horizontal="left" vertical="center"/>
    </xf>
    <xf numFmtId="3" fontId="47" fillId="0" borderId="77" xfId="4" applyNumberFormat="1" applyFont="1" applyFill="1" applyBorder="1" applyAlignment="1" applyProtection="1">
      <alignment vertical="center"/>
      <protection locked="0"/>
    </xf>
    <xf numFmtId="49" fontId="38" fillId="12" borderId="55" xfId="4" applyNumberFormat="1" applyFont="1" applyFill="1" applyBorder="1" applyAlignment="1">
      <alignment horizontal="left" vertical="center"/>
    </xf>
    <xf numFmtId="0" fontId="38" fillId="10" borderId="41" xfId="4" applyFont="1" applyFill="1" applyBorder="1" applyAlignment="1">
      <alignment vertical="center"/>
    </xf>
    <xf numFmtId="3" fontId="43" fillId="10" borderId="56" xfId="4" applyNumberFormat="1" applyFont="1" applyFill="1" applyBorder="1" applyAlignment="1">
      <alignment horizontal="right" vertical="center"/>
    </xf>
    <xf numFmtId="3" fontId="47" fillId="11" borderId="64" xfId="3" applyNumberFormat="1" applyFont="1" applyFill="1" applyBorder="1" applyAlignment="1" applyProtection="1">
      <alignment vertical="center"/>
    </xf>
    <xf numFmtId="3" fontId="47" fillId="11" borderId="0" xfId="3" applyNumberFormat="1" applyFont="1" applyFill="1" applyBorder="1" applyAlignment="1" applyProtection="1">
      <alignment vertical="center"/>
    </xf>
    <xf numFmtId="9" fontId="47" fillId="11" borderId="66" xfId="3" applyNumberFormat="1" applyFont="1" applyFill="1" applyBorder="1" applyAlignment="1" applyProtection="1">
      <alignment vertical="center"/>
    </xf>
    <xf numFmtId="49" fontId="38" fillId="11" borderId="64" xfId="4" applyNumberFormat="1" applyFont="1" applyFill="1" applyBorder="1" applyAlignment="1">
      <alignment horizontal="left" vertical="center"/>
    </xf>
    <xf numFmtId="0" fontId="46" fillId="11" borderId="0" xfId="4" applyFont="1" applyFill="1" applyBorder="1" applyAlignment="1">
      <alignment horizontal="left" vertical="center"/>
    </xf>
    <xf numFmtId="0" fontId="46" fillId="11" borderId="0" xfId="3" applyFont="1" applyFill="1" applyBorder="1" applyAlignment="1">
      <alignment vertical="center"/>
    </xf>
    <xf numFmtId="49" fontId="38" fillId="11" borderId="54" xfId="4" applyNumberFormat="1" applyFont="1" applyFill="1" applyBorder="1" applyAlignment="1">
      <alignment horizontal="left" vertical="center"/>
    </xf>
    <xf numFmtId="0" fontId="46" fillId="11" borderId="55" xfId="4" applyFont="1" applyFill="1" applyBorder="1" applyAlignment="1">
      <alignment horizontal="left" vertical="center"/>
    </xf>
    <xf numFmtId="0" fontId="46" fillId="11" borderId="55" xfId="3" applyFont="1" applyFill="1" applyBorder="1" applyAlignment="1">
      <alignment vertical="center"/>
    </xf>
    <xf numFmtId="3" fontId="47" fillId="11" borderId="54" xfId="3" applyNumberFormat="1" applyFont="1" applyFill="1" applyBorder="1" applyAlignment="1" applyProtection="1">
      <alignment vertical="center"/>
    </xf>
    <xf numFmtId="3" fontId="47" fillId="11" borderId="55" xfId="3" applyNumberFormat="1" applyFont="1" applyFill="1" applyBorder="1" applyAlignment="1" applyProtection="1">
      <alignment vertical="center"/>
    </xf>
    <xf numFmtId="9" fontId="47" fillId="11" borderId="81" xfId="3" applyNumberFormat="1" applyFont="1" applyFill="1" applyBorder="1" applyAlignment="1" applyProtection="1">
      <alignment vertical="center"/>
    </xf>
    <xf numFmtId="0" fontId="29" fillId="0" borderId="0" xfId="3" applyFill="1"/>
    <xf numFmtId="3" fontId="38" fillId="0" borderId="0" xfId="3" applyNumberFormat="1" applyFont="1" applyFill="1"/>
    <xf numFmtId="9" fontId="38" fillId="0" borderId="0" xfId="3" applyNumberFormat="1" applyFont="1" applyFill="1"/>
    <xf numFmtId="9" fontId="38" fillId="0" borderId="0" xfId="3" applyNumberFormat="1" applyFont="1"/>
    <xf numFmtId="3" fontId="29" fillId="0" borderId="0" xfId="3" applyNumberFormat="1" applyFill="1"/>
    <xf numFmtId="0" fontId="29" fillId="0" borderId="0" xfId="3" applyFill="1" applyAlignment="1">
      <alignment vertical="center"/>
    </xf>
    <xf numFmtId="3" fontId="38" fillId="0" borderId="0" xfId="4" applyNumberFormat="1" applyFont="1" applyFill="1" applyBorder="1" applyAlignment="1" applyProtection="1">
      <alignment vertical="center"/>
    </xf>
    <xf numFmtId="3" fontId="43" fillId="10" borderId="41" xfId="3" applyNumberFormat="1" applyFont="1" applyFill="1" applyBorder="1" applyAlignment="1">
      <alignment vertical="center"/>
    </xf>
    <xf numFmtId="3" fontId="43" fillId="10" borderId="78" xfId="3" applyNumberFormat="1" applyFont="1" applyFill="1" applyBorder="1" applyAlignment="1">
      <alignment vertical="center"/>
    </xf>
    <xf numFmtId="3" fontId="43" fillId="10" borderId="73" xfId="3" applyNumberFormat="1" applyFont="1" applyFill="1" applyBorder="1" applyAlignment="1">
      <alignment vertical="center"/>
    </xf>
    <xf numFmtId="9" fontId="43" fillId="10" borderId="74" xfId="3" applyNumberFormat="1" applyFont="1" applyFill="1" applyBorder="1" applyAlignment="1">
      <alignment vertical="center"/>
    </xf>
    <xf numFmtId="3" fontId="43" fillId="10" borderId="79" xfId="3" applyNumberFormat="1" applyFont="1" applyFill="1" applyBorder="1" applyAlignment="1">
      <alignment vertical="center"/>
    </xf>
    <xf numFmtId="9" fontId="43" fillId="10" borderId="80" xfId="3" applyNumberFormat="1" applyFont="1" applyFill="1" applyBorder="1" applyAlignment="1">
      <alignment vertical="center"/>
    </xf>
    <xf numFmtId="3" fontId="47" fillId="12" borderId="56" xfId="4" applyNumberFormat="1" applyFont="1" applyFill="1" applyBorder="1" applyAlignment="1" applyProtection="1">
      <alignment vertical="center"/>
      <protection locked="0"/>
    </xf>
    <xf numFmtId="3" fontId="47" fillId="12" borderId="57" xfId="4" applyNumberFormat="1" applyFont="1" applyFill="1" applyBorder="1" applyAlignment="1" applyProtection="1">
      <alignment vertical="center"/>
      <protection locked="0"/>
    </xf>
    <xf numFmtId="9" fontId="47" fillId="12" borderId="71" xfId="4" applyNumberFormat="1" applyFont="1" applyFill="1" applyBorder="1" applyAlignment="1" applyProtection="1">
      <alignment vertical="center"/>
      <protection locked="0"/>
    </xf>
    <xf numFmtId="3" fontId="47" fillId="12" borderId="41" xfId="4" applyNumberFormat="1" applyFont="1" applyFill="1" applyBorder="1" applyAlignment="1" applyProtection="1">
      <alignment vertical="center"/>
      <protection locked="0"/>
    </xf>
    <xf numFmtId="3" fontId="47" fillId="0" borderId="78" xfId="4" applyNumberFormat="1" applyFont="1" applyFill="1" applyBorder="1" applyAlignment="1" applyProtection="1">
      <alignment vertical="center"/>
      <protection locked="0"/>
    </xf>
    <xf numFmtId="3" fontId="47" fillId="0" borderId="42" xfId="4" applyNumberFormat="1" applyFont="1" applyFill="1" applyBorder="1" applyAlignment="1" applyProtection="1">
      <alignment vertical="center"/>
      <protection locked="0"/>
    </xf>
    <xf numFmtId="9" fontId="47" fillId="0" borderId="74" xfId="4" applyNumberFormat="1" applyFont="1" applyFill="1" applyBorder="1" applyAlignment="1" applyProtection="1">
      <alignment vertical="center"/>
      <protection locked="0"/>
    </xf>
    <xf numFmtId="9" fontId="47" fillId="0" borderId="66" xfId="5" applyFont="1" applyFill="1" applyBorder="1" applyAlignment="1" applyProtection="1">
      <alignment vertical="center"/>
      <protection locked="0"/>
    </xf>
    <xf numFmtId="3" fontId="43" fillId="10" borderId="41" xfId="4" applyNumberFormat="1" applyFont="1" applyFill="1" applyBorder="1" applyAlignment="1">
      <alignment horizontal="right" vertical="center"/>
    </xf>
    <xf numFmtId="0" fontId="38" fillId="0" borderId="78" xfId="3" applyFont="1" applyFill="1" applyBorder="1" applyAlignment="1">
      <alignment horizontal="left" vertical="center"/>
    </xf>
    <xf numFmtId="0" fontId="38" fillId="0" borderId="42" xfId="3" applyFont="1" applyFill="1" applyBorder="1" applyAlignment="1">
      <alignment horizontal="left" vertical="center"/>
    </xf>
    <xf numFmtId="0" fontId="38" fillId="0" borderId="42" xfId="3" applyFont="1" applyFill="1" applyBorder="1" applyAlignment="1">
      <alignment vertical="center"/>
    </xf>
    <xf numFmtId="9" fontId="38" fillId="0" borderId="66" xfId="4" applyNumberFormat="1" applyFont="1" applyFill="1" applyBorder="1" applyAlignment="1" applyProtection="1">
      <alignment vertical="center"/>
    </xf>
    <xf numFmtId="0" fontId="46" fillId="11" borderId="0" xfId="4" applyFont="1" applyFill="1" applyBorder="1" applyAlignment="1">
      <alignment vertical="center"/>
    </xf>
    <xf numFmtId="0" fontId="38" fillId="14" borderId="56" xfId="3" applyFont="1" applyFill="1" applyBorder="1" applyAlignment="1">
      <alignment horizontal="left" vertical="center"/>
    </xf>
    <xf numFmtId="3" fontId="44" fillId="14" borderId="56" xfId="4" applyNumberFormat="1" applyFont="1" applyFill="1" applyBorder="1" applyAlignment="1" applyProtection="1">
      <alignment vertical="center"/>
    </xf>
    <xf numFmtId="3" fontId="43" fillId="14" borderId="41" xfId="4" applyNumberFormat="1" applyFont="1" applyFill="1" applyBorder="1" applyAlignment="1" applyProtection="1">
      <alignment vertical="center"/>
    </xf>
    <xf numFmtId="9" fontId="43" fillId="14" borderId="71" xfId="4" applyNumberFormat="1" applyFont="1" applyFill="1" applyBorder="1" applyAlignment="1" applyProtection="1">
      <alignment vertical="center"/>
    </xf>
    <xf numFmtId="9" fontId="43" fillId="10" borderId="71" xfId="3" applyNumberFormat="1" applyFont="1" applyFill="1" applyBorder="1" applyAlignment="1">
      <alignment horizontal="right" vertical="center"/>
    </xf>
    <xf numFmtId="0" fontId="36" fillId="0" borderId="40" xfId="3" applyFont="1" applyBorder="1" applyAlignment="1">
      <alignment horizontal="center" vertical="center" wrapText="1"/>
    </xf>
    <xf numFmtId="0" fontId="36" fillId="0" borderId="41" xfId="3" applyFont="1" applyBorder="1" applyAlignment="1">
      <alignment horizontal="center" vertical="center" wrapText="1"/>
    </xf>
    <xf numFmtId="4" fontId="41" fillId="0" borderId="45" xfId="4" applyNumberFormat="1" applyFont="1" applyFill="1" applyBorder="1" applyAlignment="1" applyProtection="1">
      <alignment horizontal="center" vertical="center" wrapText="1"/>
      <protection locked="0"/>
    </xf>
    <xf numFmtId="4" fontId="41" fillId="0" borderId="50" xfId="4" applyNumberFormat="1" applyFont="1" applyFill="1" applyBorder="1" applyAlignment="1" applyProtection="1">
      <alignment horizontal="center" vertical="center" wrapText="1"/>
      <protection locked="0"/>
    </xf>
    <xf numFmtId="4" fontId="41" fillId="0" borderId="46" xfId="4" applyNumberFormat="1" applyFont="1" applyFill="1" applyBorder="1" applyAlignment="1" applyProtection="1">
      <alignment horizontal="center" vertical="center" wrapText="1"/>
      <protection locked="0"/>
    </xf>
    <xf numFmtId="4" fontId="41" fillId="0" borderId="51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47" xfId="3" applyFont="1" applyBorder="1" applyAlignment="1">
      <alignment horizontal="center" vertical="center"/>
    </xf>
    <xf numFmtId="0" fontId="32" fillId="0" borderId="52" xfId="3" applyFont="1" applyBorder="1" applyAlignment="1">
      <alignment horizontal="center" vertical="center"/>
    </xf>
    <xf numFmtId="0" fontId="33" fillId="0" borderId="46" xfId="3" applyFont="1" applyBorder="1" applyAlignment="1">
      <alignment horizontal="center" vertical="center"/>
    </xf>
    <xf numFmtId="0" fontId="33" fillId="0" borderId="47" xfId="3" applyFont="1" applyBorder="1" applyAlignment="1">
      <alignment horizontal="center" vertical="center"/>
    </xf>
    <xf numFmtId="0" fontId="45" fillId="14" borderId="41" xfId="4" applyFont="1" applyFill="1" applyBorder="1" applyAlignment="1">
      <alignment vertical="center" wrapText="1"/>
    </xf>
    <xf numFmtId="0" fontId="46" fillId="14" borderId="41" xfId="3" applyFont="1" applyFill="1" applyBorder="1" applyAlignment="1">
      <alignment vertical="center" wrapText="1"/>
    </xf>
  </cellXfs>
  <cellStyles count="6">
    <cellStyle name="Currency" xfId="1" builtinId="4"/>
    <cellStyle name="Normaallaad 2" xfId="2"/>
    <cellStyle name="Normal" xfId="0" builtinId="0"/>
    <cellStyle name="Normal 2" xfId="3"/>
    <cellStyle name="Normal_Sheet1 2" xfId="4"/>
    <cellStyle name="Percent 2" xf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workbookViewId="0">
      <selection activeCell="J5" sqref="J5"/>
    </sheetView>
  </sheetViews>
  <sheetFormatPr defaultRowHeight="12.75" x14ac:dyDescent="0.2"/>
  <cols>
    <col min="1" max="1" width="9.140625" style="285"/>
    <col min="2" max="2" width="7" style="285" customWidth="1"/>
    <col min="3" max="3" width="36.85546875" style="285" customWidth="1"/>
    <col min="4" max="4" width="11.5703125" style="285" customWidth="1"/>
    <col min="5" max="5" width="10.28515625" style="285" customWidth="1"/>
    <col min="6" max="6" width="9.42578125" style="285" customWidth="1"/>
    <col min="7" max="7" width="10.28515625" style="285" customWidth="1"/>
    <col min="8" max="8" width="10" style="285" customWidth="1"/>
    <col min="9" max="9" width="7.140625" style="285" customWidth="1"/>
    <col min="10" max="10" width="9.140625" style="285"/>
    <col min="11" max="11" width="11.7109375" style="285" bestFit="1" customWidth="1"/>
    <col min="12" max="16384" width="9.140625" style="285"/>
  </cols>
  <sheetData>
    <row r="1" spans="1:13" ht="15" thickBot="1" x14ac:dyDescent="0.25">
      <c r="A1" s="278" t="s">
        <v>231</v>
      </c>
      <c r="B1" s="279"/>
      <c r="C1" s="280"/>
      <c r="D1" s="281"/>
      <c r="E1" s="282"/>
      <c r="F1" s="283"/>
      <c r="G1" s="284"/>
      <c r="H1" s="283"/>
      <c r="I1" s="283"/>
    </row>
    <row r="2" spans="1:13" ht="16.5" customHeight="1" thickBot="1" x14ac:dyDescent="0.25">
      <c r="A2" s="445" t="s">
        <v>232</v>
      </c>
      <c r="B2" s="446"/>
      <c r="C2" s="446"/>
      <c r="D2" s="286"/>
      <c r="E2" s="287"/>
      <c r="F2" s="287"/>
      <c r="G2" s="283"/>
      <c r="H2" s="283"/>
      <c r="I2" s="283"/>
    </row>
    <row r="3" spans="1:13" x14ac:dyDescent="0.2">
      <c r="A3" s="288"/>
      <c r="B3" s="289" t="s">
        <v>233</v>
      </c>
      <c r="C3" s="290">
        <v>43646</v>
      </c>
      <c r="D3" s="447" t="s">
        <v>234</v>
      </c>
      <c r="E3" s="449" t="s">
        <v>235</v>
      </c>
      <c r="F3" s="451" t="s">
        <v>236</v>
      </c>
      <c r="G3" s="291">
        <v>2018</v>
      </c>
      <c r="H3" s="453" t="s">
        <v>237</v>
      </c>
      <c r="I3" s="454"/>
    </row>
    <row r="4" spans="1:13" ht="13.5" thickBot="1" x14ac:dyDescent="0.25">
      <c r="A4" s="292" t="s">
        <v>238</v>
      </c>
      <c r="B4" s="293"/>
      <c r="C4" s="294" t="s">
        <v>239</v>
      </c>
      <c r="D4" s="448"/>
      <c r="E4" s="450"/>
      <c r="F4" s="452"/>
      <c r="G4" s="295" t="s">
        <v>240</v>
      </c>
      <c r="H4" s="296" t="s">
        <v>241</v>
      </c>
      <c r="I4" s="297" t="s">
        <v>236</v>
      </c>
    </row>
    <row r="5" spans="1:13" ht="13.5" thickBot="1" x14ac:dyDescent="0.25">
      <c r="A5" s="298"/>
      <c r="B5" s="299" t="s">
        <v>242</v>
      </c>
      <c r="C5" s="300"/>
      <c r="D5" s="301">
        <f>D6+D12+D13+D17</f>
        <v>162651451</v>
      </c>
      <c r="E5" s="302">
        <f>E6+E12+E13+E17</f>
        <v>90943946.899999991</v>
      </c>
      <c r="F5" s="303">
        <f t="shared" ref="F5:F50" si="0">E5/D5</f>
        <v>0.55913394157178464</v>
      </c>
      <c r="G5" s="304">
        <v>83697965.75</v>
      </c>
      <c r="H5" s="305">
        <f>E5-G5</f>
        <v>7245981.1499999911</v>
      </c>
      <c r="I5" s="306">
        <f>H5/G5</f>
        <v>8.657296608191449E-2</v>
      </c>
    </row>
    <row r="6" spans="1:13" x14ac:dyDescent="0.2">
      <c r="A6" s="307">
        <v>30</v>
      </c>
      <c r="B6" s="308" t="s">
        <v>243</v>
      </c>
      <c r="C6" s="309"/>
      <c r="D6" s="310">
        <f>SUM(D7:D11)</f>
        <v>87521000</v>
      </c>
      <c r="E6" s="311">
        <f>SUM(E7:E11)</f>
        <v>44624279.889999993</v>
      </c>
      <c r="F6" s="312">
        <f t="shared" si="0"/>
        <v>0.50986940151506488</v>
      </c>
      <c r="G6" s="311">
        <v>42139597.820000008</v>
      </c>
      <c r="H6" s="313">
        <f>E6-G6</f>
        <v>2484682.0699999854</v>
      </c>
      <c r="I6" s="314">
        <f t="shared" ref="I6:I61" si="1">H6/G6</f>
        <v>5.8963117792755072E-2</v>
      </c>
    </row>
    <row r="7" spans="1:13" x14ac:dyDescent="0.2">
      <c r="A7" s="315">
        <v>3000</v>
      </c>
      <c r="B7" s="316"/>
      <c r="C7" s="317" t="s">
        <v>244</v>
      </c>
      <c r="D7" s="318">
        <v>84500000</v>
      </c>
      <c r="E7" s="319">
        <v>42935038.329999998</v>
      </c>
      <c r="F7" s="320">
        <f t="shared" si="0"/>
        <v>0.50810696248520704</v>
      </c>
      <c r="G7" s="319">
        <v>40934421.969999999</v>
      </c>
      <c r="H7" s="321">
        <f t="shared" ref="H7:H61" si="2">E7-G7</f>
        <v>2000616.3599999994</v>
      </c>
      <c r="I7" s="320">
        <f>H7/G7</f>
        <v>4.8873692694774346E-2</v>
      </c>
      <c r="K7" s="322"/>
    </row>
    <row r="8" spans="1:13" x14ac:dyDescent="0.2">
      <c r="A8" s="315">
        <v>3030</v>
      </c>
      <c r="B8" s="316"/>
      <c r="C8" s="317" t="s">
        <v>245</v>
      </c>
      <c r="D8" s="323">
        <v>1533000</v>
      </c>
      <c r="E8" s="324">
        <v>908576.08</v>
      </c>
      <c r="F8" s="320">
        <f t="shared" si="0"/>
        <v>0.59267846053489881</v>
      </c>
      <c r="G8" s="324">
        <v>449875.6</v>
      </c>
      <c r="H8" s="321">
        <f t="shared" si="2"/>
        <v>458700.48</v>
      </c>
      <c r="I8" s="320">
        <f t="shared" si="1"/>
        <v>1.0196162672525471</v>
      </c>
      <c r="K8" s="322"/>
    </row>
    <row r="9" spans="1:13" x14ac:dyDescent="0.2">
      <c r="A9" s="315">
        <v>3044</v>
      </c>
      <c r="B9" s="316"/>
      <c r="C9" s="317" t="s">
        <v>246</v>
      </c>
      <c r="D9" s="323">
        <v>458000</v>
      </c>
      <c r="E9" s="324">
        <v>226751.81</v>
      </c>
      <c r="F9" s="320">
        <f t="shared" si="0"/>
        <v>0.49509128820960696</v>
      </c>
      <c r="G9" s="324">
        <v>218884.74</v>
      </c>
      <c r="H9" s="321">
        <f t="shared" si="2"/>
        <v>7867.070000000007</v>
      </c>
      <c r="I9" s="320">
        <f t="shared" si="1"/>
        <v>3.5941610182601162E-2</v>
      </c>
      <c r="K9" s="322"/>
      <c r="M9" s="322"/>
    </row>
    <row r="10" spans="1:13" x14ac:dyDescent="0.2">
      <c r="A10" s="315">
        <v>3045</v>
      </c>
      <c r="B10" s="316"/>
      <c r="C10" s="317" t="s">
        <v>247</v>
      </c>
      <c r="D10" s="323">
        <v>180000</v>
      </c>
      <c r="E10" s="324">
        <v>84492.23</v>
      </c>
      <c r="F10" s="320">
        <f t="shared" si="0"/>
        <v>0.46940127777777774</v>
      </c>
      <c r="G10" s="324">
        <v>94044.81</v>
      </c>
      <c r="H10" s="321">
        <f t="shared" si="2"/>
        <v>-9552.5800000000017</v>
      </c>
      <c r="I10" s="320">
        <f t="shared" si="1"/>
        <v>-0.10157477058010965</v>
      </c>
      <c r="K10" s="322"/>
    </row>
    <row r="11" spans="1:13" x14ac:dyDescent="0.2">
      <c r="A11" s="315">
        <v>3047</v>
      </c>
      <c r="B11" s="316"/>
      <c r="C11" s="325" t="s">
        <v>248</v>
      </c>
      <c r="D11" s="326">
        <v>850000</v>
      </c>
      <c r="E11" s="327">
        <v>469421.44</v>
      </c>
      <c r="F11" s="320">
        <f t="shared" si="0"/>
        <v>0.55226051764705886</v>
      </c>
      <c r="G11" s="327">
        <v>442370.7</v>
      </c>
      <c r="H11" s="321">
        <f t="shared" si="2"/>
        <v>27050.739999999991</v>
      </c>
      <c r="I11" s="320">
        <f t="shared" si="1"/>
        <v>6.1149483905692643E-2</v>
      </c>
      <c r="K11" s="322"/>
    </row>
    <row r="12" spans="1:13" x14ac:dyDescent="0.2">
      <c r="A12" s="328">
        <v>32</v>
      </c>
      <c r="B12" s="329" t="s">
        <v>249</v>
      </c>
      <c r="C12" s="330"/>
      <c r="D12" s="310">
        <v>17452450</v>
      </c>
      <c r="E12" s="311">
        <v>9728161.3099999968</v>
      </c>
      <c r="F12" s="312">
        <f t="shared" si="0"/>
        <v>0.55740949322301436</v>
      </c>
      <c r="G12" s="311">
        <v>8919607.6999999955</v>
      </c>
      <c r="H12" s="331">
        <f t="shared" si="2"/>
        <v>808553.61000000127</v>
      </c>
      <c r="I12" s="312">
        <f t="shared" si="1"/>
        <v>9.0649010269812841E-2</v>
      </c>
      <c r="K12" s="322"/>
    </row>
    <row r="13" spans="1:13" x14ac:dyDescent="0.2">
      <c r="A13" s="328" t="s">
        <v>250</v>
      </c>
      <c r="B13" s="329" t="s">
        <v>251</v>
      </c>
      <c r="C13" s="330"/>
      <c r="D13" s="310">
        <f>SUM(D14:D16)</f>
        <v>56937187</v>
      </c>
      <c r="E13" s="311">
        <f>SUM(E14:E16)</f>
        <v>36265320.710000001</v>
      </c>
      <c r="F13" s="312">
        <f t="shared" si="0"/>
        <v>0.63693558851089715</v>
      </c>
      <c r="G13" s="311">
        <v>32309228.490000002</v>
      </c>
      <c r="H13" s="332">
        <f t="shared" si="2"/>
        <v>3956092.2199999988</v>
      </c>
      <c r="I13" s="333">
        <f t="shared" si="1"/>
        <v>0.12244465141668255</v>
      </c>
      <c r="K13" s="322"/>
    </row>
    <row r="14" spans="1:13" x14ac:dyDescent="0.2">
      <c r="A14" s="315">
        <v>35200</v>
      </c>
      <c r="B14" s="316"/>
      <c r="C14" s="317" t="s">
        <v>252</v>
      </c>
      <c r="D14" s="318">
        <v>8111940</v>
      </c>
      <c r="E14" s="319">
        <v>5029403</v>
      </c>
      <c r="F14" s="320">
        <f t="shared" si="0"/>
        <v>0.62000002465501469</v>
      </c>
      <c r="G14" s="319">
        <v>3806451</v>
      </c>
      <c r="H14" s="321">
        <f t="shared" si="2"/>
        <v>1222952</v>
      </c>
      <c r="I14" s="320">
        <f t="shared" si="1"/>
        <v>0.32128405173217783</v>
      </c>
      <c r="K14" s="322"/>
    </row>
    <row r="15" spans="1:13" x14ac:dyDescent="0.2">
      <c r="A15" s="315">
        <v>35201</v>
      </c>
      <c r="B15" s="316"/>
      <c r="C15" s="325" t="s">
        <v>253</v>
      </c>
      <c r="D15" s="323">
        <v>36185113</v>
      </c>
      <c r="E15" s="324">
        <v>22671820</v>
      </c>
      <c r="F15" s="320">
        <f t="shared" si="0"/>
        <v>0.62655103495185993</v>
      </c>
      <c r="G15" s="324">
        <v>21516054</v>
      </c>
      <c r="H15" s="321">
        <f t="shared" si="2"/>
        <v>1155766</v>
      </c>
      <c r="I15" s="320">
        <f t="shared" si="1"/>
        <v>5.371644819259145E-2</v>
      </c>
      <c r="K15" s="322"/>
    </row>
    <row r="16" spans="1:13" x14ac:dyDescent="0.2">
      <c r="A16" s="315" t="s">
        <v>254</v>
      </c>
      <c r="B16" s="316"/>
      <c r="C16" s="325" t="s">
        <v>255</v>
      </c>
      <c r="D16" s="326">
        <v>12640134</v>
      </c>
      <c r="E16" s="327">
        <v>8564097.709999999</v>
      </c>
      <c r="F16" s="320">
        <f t="shared" si="0"/>
        <v>0.67753219309225665</v>
      </c>
      <c r="G16" s="327">
        <v>6986723.4900000002</v>
      </c>
      <c r="H16" s="321">
        <f t="shared" si="2"/>
        <v>1577374.2199999988</v>
      </c>
      <c r="I16" s="320">
        <f t="shared" si="1"/>
        <v>0.22576737468681457</v>
      </c>
      <c r="K16" s="322"/>
    </row>
    <row r="17" spans="1:11" x14ac:dyDescent="0.2">
      <c r="A17" s="328" t="s">
        <v>256</v>
      </c>
      <c r="B17" s="329" t="s">
        <v>257</v>
      </c>
      <c r="C17" s="330"/>
      <c r="D17" s="310">
        <f>SUM(D18:D21)</f>
        <v>740814</v>
      </c>
      <c r="E17" s="311">
        <f>SUM(E18:E21)</f>
        <v>326184.99</v>
      </c>
      <c r="F17" s="312">
        <f>E17/D17</f>
        <v>0.44030619021778744</v>
      </c>
      <c r="G17" s="311">
        <v>329531.74</v>
      </c>
      <c r="H17" s="332">
        <f t="shared" si="2"/>
        <v>-3346.75</v>
      </c>
      <c r="I17" s="333">
        <f t="shared" si="1"/>
        <v>-1.015607783335226E-2</v>
      </c>
      <c r="K17" s="322"/>
    </row>
    <row r="18" spans="1:11" x14ac:dyDescent="0.2">
      <c r="A18" s="334">
        <v>3823</v>
      </c>
      <c r="B18" s="335"/>
      <c r="C18" s="317" t="s">
        <v>258</v>
      </c>
      <c r="D18" s="318">
        <v>5000</v>
      </c>
      <c r="E18" s="319">
        <v>3680.39</v>
      </c>
      <c r="F18" s="320">
        <f t="shared" si="0"/>
        <v>0.73607800000000001</v>
      </c>
      <c r="G18" s="319">
        <v>4427.5200000000004</v>
      </c>
      <c r="H18" s="321">
        <f t="shared" si="2"/>
        <v>-747.13000000000056</v>
      </c>
      <c r="I18" s="320">
        <f t="shared" si="1"/>
        <v>-0.16874683795894779</v>
      </c>
      <c r="K18" s="322"/>
    </row>
    <row r="19" spans="1:11" x14ac:dyDescent="0.2">
      <c r="A19" s="315">
        <v>3825</v>
      </c>
      <c r="B19" s="316"/>
      <c r="C19" s="317" t="s">
        <v>259</v>
      </c>
      <c r="D19" s="323">
        <v>190000</v>
      </c>
      <c r="E19" s="324">
        <v>49783.519999999997</v>
      </c>
      <c r="F19" s="320">
        <f t="shared" si="0"/>
        <v>0.26201852631578948</v>
      </c>
      <c r="G19" s="324">
        <v>48327.95</v>
      </c>
      <c r="H19" s="321">
        <f t="shared" si="2"/>
        <v>1455.5699999999997</v>
      </c>
      <c r="I19" s="320">
        <f t="shared" si="1"/>
        <v>3.0118595967757785E-2</v>
      </c>
      <c r="K19" s="322"/>
    </row>
    <row r="20" spans="1:11" x14ac:dyDescent="0.2">
      <c r="A20" s="336">
        <v>3880</v>
      </c>
      <c r="B20" s="316"/>
      <c r="C20" s="317" t="s">
        <v>260</v>
      </c>
      <c r="D20" s="323">
        <v>499000</v>
      </c>
      <c r="E20" s="324">
        <v>230827.65</v>
      </c>
      <c r="F20" s="320">
        <f t="shared" si="0"/>
        <v>0.46258046092184368</v>
      </c>
      <c r="G20" s="324">
        <v>224852.98</v>
      </c>
      <c r="H20" s="321">
        <f t="shared" si="2"/>
        <v>5974.6699999999837</v>
      </c>
      <c r="I20" s="320">
        <f t="shared" si="1"/>
        <v>2.6571451265622468E-2</v>
      </c>
      <c r="K20" s="322"/>
    </row>
    <row r="21" spans="1:11" ht="13.5" thickBot="1" x14ac:dyDescent="0.25">
      <c r="A21" s="315">
        <v>3888</v>
      </c>
      <c r="B21" s="316"/>
      <c r="C21" s="317" t="s">
        <v>261</v>
      </c>
      <c r="D21" s="338">
        <v>46814</v>
      </c>
      <c r="E21" s="339">
        <v>41893.43</v>
      </c>
      <c r="F21" s="320">
        <f t="shared" si="0"/>
        <v>0.8948910582304439</v>
      </c>
      <c r="G21" s="339">
        <v>51923.29</v>
      </c>
      <c r="H21" s="340">
        <f t="shared" si="2"/>
        <v>-10029.86</v>
      </c>
      <c r="I21" s="341">
        <f t="shared" si="1"/>
        <v>-0.19316688137442756</v>
      </c>
      <c r="K21" s="322"/>
    </row>
    <row r="22" spans="1:11" ht="13.5" thickBot="1" x14ac:dyDescent="0.25">
      <c r="A22" s="342"/>
      <c r="B22" s="343" t="s">
        <v>262</v>
      </c>
      <c r="C22" s="344"/>
      <c r="D22" s="301">
        <f>D23+D24</f>
        <v>-154702881</v>
      </c>
      <c r="E22" s="302">
        <f>E23+E24</f>
        <v>-75195413.100000009</v>
      </c>
      <c r="F22" s="345">
        <f>E22/D22</f>
        <v>0.48606343084198933</v>
      </c>
      <c r="G22" s="302">
        <v>-66994358.180000007</v>
      </c>
      <c r="H22" s="305">
        <f>SUM(H23:H24)</f>
        <v>-8201054.9199999962</v>
      </c>
      <c r="I22" s="346">
        <f t="shared" si="1"/>
        <v>0.12241411281179014</v>
      </c>
      <c r="K22" s="322"/>
    </row>
    <row r="23" spans="1:11" x14ac:dyDescent="0.2">
      <c r="A23" s="347" t="s">
        <v>263</v>
      </c>
      <c r="B23" s="348" t="s">
        <v>264</v>
      </c>
      <c r="C23" s="349"/>
      <c r="D23" s="350">
        <v>-18336060</v>
      </c>
      <c r="E23" s="351">
        <v>-10090217.649999999</v>
      </c>
      <c r="F23" s="352">
        <f t="shared" si="0"/>
        <v>0.55029366450589701</v>
      </c>
      <c r="G23" s="351">
        <v>-9512509.6600000001</v>
      </c>
      <c r="H23" s="353">
        <f>E23-G23</f>
        <v>-577707.98999999836</v>
      </c>
      <c r="I23" s="352">
        <f t="shared" si="1"/>
        <v>6.0731395882755758E-2</v>
      </c>
      <c r="K23" s="322"/>
    </row>
    <row r="24" spans="1:11" x14ac:dyDescent="0.2">
      <c r="A24" s="328"/>
      <c r="B24" s="329" t="s">
        <v>265</v>
      </c>
      <c r="C24" s="330"/>
      <c r="D24" s="310">
        <f>SUM(D25:D28)-D26</f>
        <v>-136366821</v>
      </c>
      <c r="E24" s="311">
        <f>SUM(E25:E28)-E26</f>
        <v>-65105195.45000001</v>
      </c>
      <c r="F24" s="352">
        <f t="shared" si="0"/>
        <v>0.47742695013767322</v>
      </c>
      <c r="G24" s="311">
        <v>-57481848.520000011</v>
      </c>
      <c r="H24" s="332">
        <f>SUM(H27:H28,H25)</f>
        <v>-7623346.9299999978</v>
      </c>
      <c r="I24" s="352">
        <f t="shared" si="1"/>
        <v>0.13262181238565354</v>
      </c>
      <c r="K24" s="322"/>
    </row>
    <row r="25" spans="1:11" x14ac:dyDescent="0.2">
      <c r="A25" s="315">
        <v>50</v>
      </c>
      <c r="B25" s="316"/>
      <c r="C25" s="317" t="s">
        <v>266</v>
      </c>
      <c r="D25" s="318">
        <v>-79920281</v>
      </c>
      <c r="E25" s="324">
        <v>-37839030.070000008</v>
      </c>
      <c r="F25" s="320">
        <f t="shared" si="0"/>
        <v>0.47345967252042082</v>
      </c>
      <c r="G25" s="324">
        <v>-33320439.970000006</v>
      </c>
      <c r="H25" s="321">
        <f t="shared" si="2"/>
        <v>-4518590.1000000015</v>
      </c>
      <c r="I25" s="320">
        <f t="shared" si="1"/>
        <v>0.13561015713082736</v>
      </c>
      <c r="K25" s="322"/>
    </row>
    <row r="26" spans="1:11" s="362" customFormat="1" x14ac:dyDescent="0.2">
      <c r="A26" s="354">
        <v>500</v>
      </c>
      <c r="B26" s="355"/>
      <c r="C26" s="356" t="s">
        <v>267</v>
      </c>
      <c r="D26" s="357">
        <v>-59646287</v>
      </c>
      <c r="E26" s="358">
        <v>-28256272.06000001</v>
      </c>
      <c r="F26" s="359">
        <f t="shared" si="0"/>
        <v>0.47373061226761709</v>
      </c>
      <c r="G26" s="358">
        <v>-24884261.450000007</v>
      </c>
      <c r="H26" s="360">
        <f t="shared" si="2"/>
        <v>-3372010.6100000031</v>
      </c>
      <c r="I26" s="361">
        <f t="shared" si="1"/>
        <v>0.13550776328143757</v>
      </c>
      <c r="K26" s="363"/>
    </row>
    <row r="27" spans="1:11" x14ac:dyDescent="0.2">
      <c r="A27" s="315">
        <v>55</v>
      </c>
      <c r="B27" s="316"/>
      <c r="C27" s="317" t="s">
        <v>268</v>
      </c>
      <c r="D27" s="323">
        <v>-56005314</v>
      </c>
      <c r="E27" s="324">
        <v>-27115541.039999999</v>
      </c>
      <c r="F27" s="320">
        <f t="shared" si="0"/>
        <v>0.48416014666036866</v>
      </c>
      <c r="G27" s="324">
        <v>-24150029.880000003</v>
      </c>
      <c r="H27" s="321">
        <f t="shared" si="2"/>
        <v>-2965511.1599999964</v>
      </c>
      <c r="I27" s="320">
        <f t="shared" si="1"/>
        <v>0.12279534123706833</v>
      </c>
      <c r="K27" s="322"/>
    </row>
    <row r="28" spans="1:11" ht="13.5" thickBot="1" x14ac:dyDescent="0.25">
      <c r="A28" s="364">
        <v>60</v>
      </c>
      <c r="B28" s="365"/>
      <c r="C28" s="366" t="s">
        <v>269</v>
      </c>
      <c r="D28" s="338">
        <v>-441226</v>
      </c>
      <c r="E28" s="324">
        <v>-150624.34</v>
      </c>
      <c r="F28" s="320">
        <f t="shared" si="0"/>
        <v>0.34137684542615349</v>
      </c>
      <c r="G28" s="324">
        <v>-11378.67</v>
      </c>
      <c r="H28" s="367">
        <f t="shared" si="2"/>
        <v>-139245.66999999998</v>
      </c>
      <c r="I28" s="368">
        <f t="shared" si="1"/>
        <v>12.23742933049293</v>
      </c>
      <c r="K28" s="322"/>
    </row>
    <row r="29" spans="1:11" ht="13.5" thickBot="1" x14ac:dyDescent="0.25">
      <c r="A29" s="369"/>
      <c r="B29" s="370" t="s">
        <v>270</v>
      </c>
      <c r="C29" s="371"/>
      <c r="D29" s="372">
        <f>D5+D22</f>
        <v>7948570</v>
      </c>
      <c r="E29" s="373">
        <f>E5+E22</f>
        <v>15748533.799999982</v>
      </c>
      <c r="F29" s="374">
        <f t="shared" si="0"/>
        <v>1.9813040333041014</v>
      </c>
      <c r="G29" s="373">
        <v>16703607.569999993</v>
      </c>
      <c r="H29" s="375">
        <f>H5+H22</f>
        <v>-955073.77000000514</v>
      </c>
      <c r="I29" s="376">
        <f t="shared" si="1"/>
        <v>-5.7177694458970432E-2</v>
      </c>
      <c r="K29" s="322"/>
    </row>
    <row r="30" spans="1:11" ht="13.5" thickBot="1" x14ac:dyDescent="0.25">
      <c r="A30" s="377"/>
      <c r="B30" s="378" t="s">
        <v>271</v>
      </c>
      <c r="C30" s="379"/>
      <c r="D30" s="421">
        <f>SUM(D33:D38)</f>
        <v>-31108872</v>
      </c>
      <c r="E30" s="422">
        <f>SUM(E33:E38)</f>
        <v>-14838125.689999999</v>
      </c>
      <c r="F30" s="423">
        <f t="shared" si="0"/>
        <v>0.47697408282756121</v>
      </c>
      <c r="G30" s="422">
        <v>-5925508.7899999972</v>
      </c>
      <c r="H30" s="424">
        <f>SUM(H31:H32)</f>
        <v>-8912616.9000000004</v>
      </c>
      <c r="I30" s="425">
        <f t="shared" si="1"/>
        <v>1.5041099787145882</v>
      </c>
      <c r="K30" s="322"/>
    </row>
    <row r="31" spans="1:11" ht="13.5" thickBot="1" x14ac:dyDescent="0.25">
      <c r="A31" s="354"/>
      <c r="B31" s="381" t="s">
        <v>272</v>
      </c>
      <c r="C31" s="356"/>
      <c r="D31" s="426">
        <f>D33+D35+D37</f>
        <v>14660461</v>
      </c>
      <c r="E31" s="427">
        <f>E33+E35+E37</f>
        <v>4441372.58</v>
      </c>
      <c r="F31" s="428">
        <f t="shared" si="0"/>
        <v>0.3029490395970495</v>
      </c>
      <c r="G31" s="427">
        <v>4542952.25</v>
      </c>
      <c r="H31" s="429">
        <f>SUM(H33,H35,H37)</f>
        <v>-101579.66999999963</v>
      </c>
      <c r="I31" s="428">
        <f t="shared" si="1"/>
        <v>-2.2359836601848419E-2</v>
      </c>
      <c r="K31" s="322"/>
    </row>
    <row r="32" spans="1:11" ht="13.5" thickBot="1" x14ac:dyDescent="0.25">
      <c r="A32" s="354"/>
      <c r="B32" s="381" t="s">
        <v>273</v>
      </c>
      <c r="C32" s="356"/>
      <c r="D32" s="426">
        <f>D34+D36+D38</f>
        <v>-45769333</v>
      </c>
      <c r="E32" s="427">
        <f>E34+E36+E38</f>
        <v>-19279498.27</v>
      </c>
      <c r="F32" s="428">
        <f t="shared" si="0"/>
        <v>0.42123179444192466</v>
      </c>
      <c r="G32" s="427">
        <v>-10468461.039999997</v>
      </c>
      <c r="H32" s="429">
        <f>SUM(H34,H36,H38)</f>
        <v>-8811037.2300000004</v>
      </c>
      <c r="I32" s="428">
        <f t="shared" si="1"/>
        <v>0.8416745495190765</v>
      </c>
      <c r="K32" s="322"/>
    </row>
    <row r="33" spans="1:11" x14ac:dyDescent="0.2">
      <c r="A33" s="315">
        <v>381</v>
      </c>
      <c r="B33" s="316"/>
      <c r="C33" s="317" t="s">
        <v>274</v>
      </c>
      <c r="D33" s="430">
        <v>3560000</v>
      </c>
      <c r="E33" s="431">
        <v>249740</v>
      </c>
      <c r="F33" s="432">
        <f t="shared" si="0"/>
        <v>7.0151685393258431E-2</v>
      </c>
      <c r="G33" s="321">
        <v>1341094.81</v>
      </c>
      <c r="H33" s="321">
        <f t="shared" si="2"/>
        <v>-1091354.81</v>
      </c>
      <c r="I33" s="320">
        <f t="shared" si="1"/>
        <v>-0.81377901238764772</v>
      </c>
      <c r="K33" s="322"/>
    </row>
    <row r="34" spans="1:11" x14ac:dyDescent="0.2">
      <c r="A34" s="315">
        <v>15</v>
      </c>
      <c r="B34" s="316"/>
      <c r="C34" s="317" t="s">
        <v>275</v>
      </c>
      <c r="D34" s="323">
        <v>-41614354</v>
      </c>
      <c r="E34" s="321">
        <v>-17607071.59</v>
      </c>
      <c r="F34" s="320">
        <f t="shared" si="0"/>
        <v>0.42310092306130714</v>
      </c>
      <c r="G34" s="321">
        <v>-9841982.1699999981</v>
      </c>
      <c r="H34" s="321">
        <f t="shared" si="2"/>
        <v>-7765089.4200000018</v>
      </c>
      <c r="I34" s="320">
        <f t="shared" si="1"/>
        <v>0.78897617226632344</v>
      </c>
      <c r="K34" s="322"/>
    </row>
    <row r="35" spans="1:11" x14ac:dyDescent="0.2">
      <c r="A35" s="315">
        <v>3502</v>
      </c>
      <c r="B35" s="316"/>
      <c r="C35" s="317" t="s">
        <v>276</v>
      </c>
      <c r="D35" s="323">
        <v>10591461</v>
      </c>
      <c r="E35" s="321">
        <v>3211360.2</v>
      </c>
      <c r="F35" s="320">
        <f t="shared" si="0"/>
        <v>0.30320275927938556</v>
      </c>
      <c r="G35" s="321">
        <v>2700300.28</v>
      </c>
      <c r="H35" s="321">
        <f t="shared" si="2"/>
        <v>511059.92000000039</v>
      </c>
      <c r="I35" s="320">
        <f t="shared" si="1"/>
        <v>0.18926040329114821</v>
      </c>
      <c r="K35" s="322"/>
    </row>
    <row r="36" spans="1:11" x14ac:dyDescent="0.2">
      <c r="A36" s="315">
        <v>4502</v>
      </c>
      <c r="B36" s="316"/>
      <c r="C36" s="317" t="s">
        <v>277</v>
      </c>
      <c r="D36" s="323">
        <v>-3294271</v>
      </c>
      <c r="E36" s="321">
        <v>-1501699.6199999999</v>
      </c>
      <c r="F36" s="320">
        <f t="shared" si="0"/>
        <v>0.45585187739563621</v>
      </c>
      <c r="G36" s="321">
        <v>-419829.6</v>
      </c>
      <c r="H36" s="321">
        <f t="shared" si="2"/>
        <v>-1081870.02</v>
      </c>
      <c r="I36" s="320">
        <f t="shared" si="1"/>
        <v>2.5769264958926197</v>
      </c>
      <c r="K36" s="322"/>
    </row>
    <row r="37" spans="1:11" x14ac:dyDescent="0.2">
      <c r="A37" s="383">
        <v>382</v>
      </c>
      <c r="B37" s="382"/>
      <c r="C37" s="317" t="s">
        <v>278</v>
      </c>
      <c r="D37" s="323">
        <v>509000</v>
      </c>
      <c r="E37" s="321">
        <v>980272.38</v>
      </c>
      <c r="F37" s="320">
        <f t="shared" si="0"/>
        <v>1.9258789390962672</v>
      </c>
      <c r="G37" s="321">
        <v>501557.16</v>
      </c>
      <c r="H37" s="321">
        <f t="shared" si="2"/>
        <v>478715.22000000003</v>
      </c>
      <c r="I37" s="320">
        <f t="shared" si="1"/>
        <v>0.95445795250934118</v>
      </c>
      <c r="K37" s="322"/>
    </row>
    <row r="38" spans="1:11" ht="13.5" thickBot="1" x14ac:dyDescent="0.25">
      <c r="A38" s="364">
        <v>65</v>
      </c>
      <c r="B38" s="365"/>
      <c r="C38" s="366" t="s">
        <v>279</v>
      </c>
      <c r="D38" s="323">
        <v>-860708</v>
      </c>
      <c r="E38" s="321">
        <v>-170727.06</v>
      </c>
      <c r="F38" s="320">
        <f t="shared" si="0"/>
        <v>0.19835653903530581</v>
      </c>
      <c r="G38" s="321">
        <v>-206649.26999999996</v>
      </c>
      <c r="H38" s="367">
        <f t="shared" si="2"/>
        <v>35922.209999999963</v>
      </c>
      <c r="I38" s="368">
        <f t="shared" si="1"/>
        <v>-0.17383177787175327</v>
      </c>
      <c r="K38" s="322"/>
    </row>
    <row r="39" spans="1:11" ht="13.5" thickBot="1" x14ac:dyDescent="0.25">
      <c r="A39" s="384"/>
      <c r="B39" s="385" t="s">
        <v>280</v>
      </c>
      <c r="C39" s="386"/>
      <c r="D39" s="372">
        <f>D29+D30</f>
        <v>-23160302</v>
      </c>
      <c r="E39" s="375">
        <f>E29+E30</f>
        <v>910408.10999998264</v>
      </c>
      <c r="F39" s="374">
        <f t="shared" si="0"/>
        <v>-3.9308991307625551E-2</v>
      </c>
      <c r="G39" s="375">
        <v>10778098.779999996</v>
      </c>
      <c r="H39" s="375">
        <f>H29+H30</f>
        <v>-9867690.6700000055</v>
      </c>
      <c r="I39" s="374">
        <f t="shared" si="1"/>
        <v>-0.91553166021364019</v>
      </c>
    </row>
    <row r="40" spans="1:11" ht="13.5" thickBot="1" x14ac:dyDescent="0.25">
      <c r="A40" s="387"/>
      <c r="B40" s="378" t="s">
        <v>281</v>
      </c>
      <c r="C40" s="379"/>
      <c r="D40" s="380">
        <f>D41+D45</f>
        <v>11188594</v>
      </c>
      <c r="E40" s="420">
        <f>E41+E45</f>
        <v>-82428.159999999989</v>
      </c>
      <c r="F40" s="345">
        <f t="shared" si="0"/>
        <v>-7.3671598057807788E-3</v>
      </c>
      <c r="G40" s="420">
        <v>-266908.23</v>
      </c>
      <c r="H40" s="420">
        <f>E40-G40</f>
        <v>184480.07</v>
      </c>
      <c r="I40" s="345">
        <f t="shared" si="1"/>
        <v>-0.69117415375314584</v>
      </c>
    </row>
    <row r="41" spans="1:11" x14ac:dyDescent="0.2">
      <c r="A41" s="388" t="s">
        <v>282</v>
      </c>
      <c r="B41" s="389"/>
      <c r="C41" s="390" t="s">
        <v>283</v>
      </c>
      <c r="D41" s="397">
        <f>SUM(D42:D44)</f>
        <v>17696895</v>
      </c>
      <c r="E41" s="321">
        <f>SUM(E42:E44)</f>
        <v>0</v>
      </c>
      <c r="F41" s="320">
        <f t="shared" si="0"/>
        <v>0</v>
      </c>
      <c r="G41" s="321">
        <v>0</v>
      </c>
      <c r="H41" s="321">
        <f t="shared" si="2"/>
        <v>0</v>
      </c>
      <c r="I41" s="337" t="s">
        <v>25</v>
      </c>
    </row>
    <row r="42" spans="1:11" x14ac:dyDescent="0.2">
      <c r="A42" s="391" t="s">
        <v>284</v>
      </c>
      <c r="B42" s="392"/>
      <c r="C42" s="393" t="s">
        <v>285</v>
      </c>
      <c r="D42" s="357">
        <v>0</v>
      </c>
      <c r="E42" s="360">
        <v>0</v>
      </c>
      <c r="F42" s="394" t="s">
        <v>25</v>
      </c>
      <c r="G42" s="360">
        <v>0</v>
      </c>
      <c r="H42" s="360">
        <f t="shared" si="2"/>
        <v>0</v>
      </c>
      <c r="I42" s="394" t="s">
        <v>25</v>
      </c>
    </row>
    <row r="43" spans="1:11" x14ac:dyDescent="0.2">
      <c r="A43" s="391" t="s">
        <v>286</v>
      </c>
      <c r="B43" s="392"/>
      <c r="C43" s="393" t="s">
        <v>287</v>
      </c>
      <c r="D43" s="357">
        <v>17696895</v>
      </c>
      <c r="E43" s="360">
        <v>0</v>
      </c>
      <c r="F43" s="394" t="s">
        <v>25</v>
      </c>
      <c r="G43" s="360">
        <v>0</v>
      </c>
      <c r="H43" s="360">
        <f t="shared" si="2"/>
        <v>0</v>
      </c>
      <c r="I43" s="394" t="s">
        <v>25</v>
      </c>
    </row>
    <row r="44" spans="1:11" x14ac:dyDescent="0.2">
      <c r="A44" s="391" t="s">
        <v>288</v>
      </c>
      <c r="B44" s="392"/>
      <c r="C44" s="393" t="s">
        <v>289</v>
      </c>
      <c r="D44" s="357">
        <v>0</v>
      </c>
      <c r="E44" s="360">
        <v>0</v>
      </c>
      <c r="F44" s="394" t="s">
        <v>25</v>
      </c>
      <c r="G44" s="360">
        <v>0</v>
      </c>
      <c r="H44" s="360">
        <f t="shared" si="2"/>
        <v>0</v>
      </c>
      <c r="I44" s="394" t="s">
        <v>25</v>
      </c>
    </row>
    <row r="45" spans="1:11" x14ac:dyDescent="0.2">
      <c r="A45" s="395" t="s">
        <v>290</v>
      </c>
      <c r="B45" s="396"/>
      <c r="C45" s="390" t="s">
        <v>291</v>
      </c>
      <c r="D45" s="397">
        <f>SUM(D46:D48)</f>
        <v>-6508301</v>
      </c>
      <c r="E45" s="321">
        <f>SUM(E46:E48)</f>
        <v>-82428.159999999989</v>
      </c>
      <c r="F45" s="433">
        <f>E45/D45</f>
        <v>1.2665081101811361E-2</v>
      </c>
      <c r="G45" s="321">
        <v>-266908.23</v>
      </c>
      <c r="H45" s="321">
        <f t="shared" si="2"/>
        <v>184480.07</v>
      </c>
      <c r="I45" s="320">
        <f t="shared" si="1"/>
        <v>-0.69117415375314584</v>
      </c>
    </row>
    <row r="46" spans="1:11" x14ac:dyDescent="0.2">
      <c r="A46" s="391" t="s">
        <v>292</v>
      </c>
      <c r="B46" s="392"/>
      <c r="C46" s="393" t="s">
        <v>293</v>
      </c>
      <c r="D46" s="357">
        <v>-5115635</v>
      </c>
      <c r="E46" s="360">
        <v>0</v>
      </c>
      <c r="F46" s="394">
        <f>E46/D46</f>
        <v>0</v>
      </c>
      <c r="G46" s="360">
        <v>0</v>
      </c>
      <c r="H46" s="360">
        <f t="shared" si="2"/>
        <v>0</v>
      </c>
      <c r="I46" s="394" t="s">
        <v>25</v>
      </c>
    </row>
    <row r="47" spans="1:11" x14ac:dyDescent="0.2">
      <c r="A47" s="391" t="s">
        <v>294</v>
      </c>
      <c r="B47" s="392"/>
      <c r="C47" s="393" t="s">
        <v>295</v>
      </c>
      <c r="D47" s="357">
        <v>-1373660</v>
      </c>
      <c r="E47" s="360">
        <v>-81830.039999999994</v>
      </c>
      <c r="F47" s="394">
        <f t="shared" ref="F47" si="3">E47/D47</f>
        <v>5.9570810826550961E-2</v>
      </c>
      <c r="G47" s="360">
        <v>-101304.64000000001</v>
      </c>
      <c r="H47" s="360">
        <f t="shared" si="2"/>
        <v>19474.60000000002</v>
      </c>
      <c r="I47" s="359">
        <f t="shared" si="1"/>
        <v>-0.19223798633507821</v>
      </c>
    </row>
    <row r="48" spans="1:11" ht="13.5" thickBot="1" x14ac:dyDescent="0.25">
      <c r="A48" s="391" t="s">
        <v>296</v>
      </c>
      <c r="B48" s="398"/>
      <c r="C48" s="393" t="s">
        <v>297</v>
      </c>
      <c r="D48" s="357">
        <v>-19006</v>
      </c>
      <c r="E48" s="360">
        <v>-598.12</v>
      </c>
      <c r="F48" s="394" t="s">
        <v>25</v>
      </c>
      <c r="G48" s="360">
        <v>-165603.59</v>
      </c>
      <c r="H48" s="360">
        <f t="shared" si="2"/>
        <v>165005.47</v>
      </c>
      <c r="I48" s="359">
        <f t="shared" si="1"/>
        <v>-0.99638824254957281</v>
      </c>
    </row>
    <row r="49" spans="1:9" ht="13.5" thickBot="1" x14ac:dyDescent="0.25">
      <c r="A49" s="377">
        <v>1001</v>
      </c>
      <c r="B49" s="343" t="s">
        <v>298</v>
      </c>
      <c r="C49" s="399"/>
      <c r="D49" s="400">
        <f>D5+D22+D30+D40+D50</f>
        <v>-11343580</v>
      </c>
      <c r="E49" s="434">
        <f>E5+E22+E30+E40+E50</f>
        <v>827979.94999998261</v>
      </c>
      <c r="F49" s="345">
        <f t="shared" si="0"/>
        <v>-7.2991061904617641E-2</v>
      </c>
      <c r="G49" s="434">
        <v>10511190.549999995</v>
      </c>
      <c r="H49" s="420">
        <f>E49-G49</f>
        <v>-9683210.6000000127</v>
      </c>
      <c r="I49" s="345">
        <f>H49/G49</f>
        <v>-0.92122871847281063</v>
      </c>
    </row>
    <row r="50" spans="1:9" ht="13.5" thickBot="1" x14ac:dyDescent="0.25">
      <c r="A50" s="377"/>
      <c r="B50" s="343" t="s">
        <v>299</v>
      </c>
      <c r="C50" s="399"/>
      <c r="D50" s="400">
        <v>628128</v>
      </c>
      <c r="E50" s="434">
        <v>0</v>
      </c>
      <c r="F50" s="345">
        <f t="shared" si="0"/>
        <v>0</v>
      </c>
      <c r="G50" s="434">
        <v>0</v>
      </c>
      <c r="H50" s="420">
        <v>0</v>
      </c>
      <c r="I50" s="444" t="s">
        <v>25</v>
      </c>
    </row>
    <row r="51" spans="1:9" ht="13.5" thickBot="1" x14ac:dyDescent="0.25">
      <c r="A51" s="435"/>
      <c r="B51" s="436"/>
      <c r="C51" s="437"/>
      <c r="D51" s="323"/>
      <c r="E51" s="321"/>
      <c r="F51" s="320"/>
      <c r="G51" s="321"/>
      <c r="H51" s="419"/>
      <c r="I51" s="438"/>
    </row>
    <row r="52" spans="1:9" ht="12.75" customHeight="1" thickBot="1" x14ac:dyDescent="0.25">
      <c r="A52" s="440"/>
      <c r="B52" s="455" t="s">
        <v>300</v>
      </c>
      <c r="C52" s="456"/>
      <c r="D52" s="441">
        <f>SUM(D53:D61)</f>
        <v>200472214</v>
      </c>
      <c r="E52" s="442">
        <f>SUM(E53:E61)</f>
        <v>94474911.370000005</v>
      </c>
      <c r="F52" s="443">
        <f>E52/D52</f>
        <v>0.47126187457579533</v>
      </c>
      <c r="G52" s="442">
        <v>77462819.280000001</v>
      </c>
      <c r="H52" s="442">
        <f>SUM(H53:H61)</f>
        <v>17012092.089999977</v>
      </c>
      <c r="I52" s="443">
        <f t="shared" si="1"/>
        <v>0.21961622683144844</v>
      </c>
    </row>
    <row r="53" spans="1:9" x14ac:dyDescent="0.2">
      <c r="A53" s="404" t="s">
        <v>18</v>
      </c>
      <c r="B53" s="405" t="s">
        <v>301</v>
      </c>
      <c r="C53" s="439"/>
      <c r="D53" s="401">
        <v>15084789</v>
      </c>
      <c r="E53" s="402">
        <v>6341090.1799999997</v>
      </c>
      <c r="F53" s="403">
        <f t="shared" ref="F53:F60" si="4">E53/D53</f>
        <v>0.42036320030727642</v>
      </c>
      <c r="G53" s="402">
        <v>5328849.9699999988</v>
      </c>
      <c r="H53" s="402">
        <f t="shared" si="2"/>
        <v>1012240.2100000009</v>
      </c>
      <c r="I53" s="403">
        <f t="shared" si="1"/>
        <v>0.18995472113094622</v>
      </c>
    </row>
    <row r="54" spans="1:9" x14ac:dyDescent="0.2">
      <c r="A54" s="404" t="s">
        <v>302</v>
      </c>
      <c r="B54" s="405" t="s">
        <v>303</v>
      </c>
      <c r="C54" s="406"/>
      <c r="D54" s="401">
        <v>613599</v>
      </c>
      <c r="E54" s="402">
        <v>295237.70999999996</v>
      </c>
      <c r="F54" s="403">
        <f t="shared" si="4"/>
        <v>0.48115741714051025</v>
      </c>
      <c r="G54" s="402">
        <v>280140.34999999998</v>
      </c>
      <c r="H54" s="402">
        <f t="shared" si="2"/>
        <v>15097.359999999986</v>
      </c>
      <c r="I54" s="403">
        <f t="shared" si="1"/>
        <v>5.3892129427267392E-2</v>
      </c>
    </row>
    <row r="55" spans="1:9" x14ac:dyDescent="0.2">
      <c r="A55" s="404" t="s">
        <v>31</v>
      </c>
      <c r="B55" s="405" t="s">
        <v>304</v>
      </c>
      <c r="C55" s="406"/>
      <c r="D55" s="401">
        <v>34213987</v>
      </c>
      <c r="E55" s="402">
        <v>13944566.07</v>
      </c>
      <c r="F55" s="403">
        <f t="shared" si="4"/>
        <v>0.40756916374580959</v>
      </c>
      <c r="G55" s="402">
        <v>9445624.9800000004</v>
      </c>
      <c r="H55" s="402">
        <f t="shared" si="2"/>
        <v>4498941.09</v>
      </c>
      <c r="I55" s="403">
        <f t="shared" si="1"/>
        <v>0.47629893199507478</v>
      </c>
    </row>
    <row r="56" spans="1:9" x14ac:dyDescent="0.2">
      <c r="A56" s="404" t="s">
        <v>51</v>
      </c>
      <c r="B56" s="405" t="s">
        <v>305</v>
      </c>
      <c r="C56" s="406"/>
      <c r="D56" s="401">
        <v>6883276</v>
      </c>
      <c r="E56" s="402">
        <v>3404022.2800000003</v>
      </c>
      <c r="F56" s="403">
        <f t="shared" si="4"/>
        <v>0.49453520097116549</v>
      </c>
      <c r="G56" s="402">
        <v>3312547.69</v>
      </c>
      <c r="H56" s="402">
        <f t="shared" si="2"/>
        <v>91474.590000000317</v>
      </c>
      <c r="I56" s="403">
        <f t="shared" si="1"/>
        <v>2.7614572999551387E-2</v>
      </c>
    </row>
    <row r="57" spans="1:9" x14ac:dyDescent="0.2">
      <c r="A57" s="404" t="s">
        <v>56</v>
      </c>
      <c r="B57" s="405" t="s">
        <v>306</v>
      </c>
      <c r="C57" s="406"/>
      <c r="D57" s="401">
        <v>6297081</v>
      </c>
      <c r="E57" s="402">
        <v>3030588.6899999995</v>
      </c>
      <c r="F57" s="403">
        <f t="shared" si="4"/>
        <v>0.48126881169227448</v>
      </c>
      <c r="G57" s="402">
        <v>1569685.3</v>
      </c>
      <c r="H57" s="402">
        <f t="shared" si="2"/>
        <v>1460903.3899999994</v>
      </c>
      <c r="I57" s="403">
        <f t="shared" si="1"/>
        <v>0.93069826799040511</v>
      </c>
    </row>
    <row r="58" spans="1:9" x14ac:dyDescent="0.2">
      <c r="A58" s="404" t="s">
        <v>307</v>
      </c>
      <c r="B58" s="405" t="s">
        <v>308</v>
      </c>
      <c r="C58" s="406"/>
      <c r="D58" s="401">
        <v>669830</v>
      </c>
      <c r="E58" s="402">
        <v>305773.90999999997</v>
      </c>
      <c r="F58" s="403">
        <f t="shared" si="4"/>
        <v>0.45649479718734598</v>
      </c>
      <c r="G58" s="402">
        <v>232689.84</v>
      </c>
      <c r="H58" s="402">
        <f t="shared" si="2"/>
        <v>73084.069999999978</v>
      </c>
      <c r="I58" s="403">
        <f t="shared" si="1"/>
        <v>0.31408363167038139</v>
      </c>
    </row>
    <row r="59" spans="1:9" x14ac:dyDescent="0.2">
      <c r="A59" s="404" t="s">
        <v>65</v>
      </c>
      <c r="B59" s="405" t="s">
        <v>309</v>
      </c>
      <c r="C59" s="406"/>
      <c r="D59" s="401">
        <v>13183641</v>
      </c>
      <c r="E59" s="402">
        <v>6423028.8200000012</v>
      </c>
      <c r="F59" s="403">
        <f t="shared" si="4"/>
        <v>0.48719688438118131</v>
      </c>
      <c r="G59" s="402">
        <v>5435540.3600000003</v>
      </c>
      <c r="H59" s="402">
        <f t="shared" si="2"/>
        <v>987488.46000000089</v>
      </c>
      <c r="I59" s="403">
        <f t="shared" si="1"/>
        <v>0.18167254671989977</v>
      </c>
    </row>
    <row r="60" spans="1:9" x14ac:dyDescent="0.2">
      <c r="A60" s="404" t="s">
        <v>80</v>
      </c>
      <c r="B60" s="405" t="s">
        <v>310</v>
      </c>
      <c r="C60" s="406"/>
      <c r="D60" s="401">
        <v>106475397</v>
      </c>
      <c r="E60" s="402">
        <v>52432541.61999999</v>
      </c>
      <c r="F60" s="403">
        <f t="shared" si="4"/>
        <v>0.49243809459569321</v>
      </c>
      <c r="G60" s="402">
        <v>45602117.830000013</v>
      </c>
      <c r="H60" s="402">
        <f t="shared" si="2"/>
        <v>6830423.7899999768</v>
      </c>
      <c r="I60" s="403">
        <f t="shared" si="1"/>
        <v>0.1497830389251458</v>
      </c>
    </row>
    <row r="61" spans="1:9" ht="13.5" thickBot="1" x14ac:dyDescent="0.25">
      <c r="A61" s="407" t="s">
        <v>311</v>
      </c>
      <c r="B61" s="408" t="s">
        <v>312</v>
      </c>
      <c r="C61" s="409"/>
      <c r="D61" s="410">
        <v>17050614</v>
      </c>
      <c r="E61" s="411">
        <v>8298062.0899999999</v>
      </c>
      <c r="F61" s="412">
        <f>E61/D61</f>
        <v>0.48667233273828142</v>
      </c>
      <c r="G61" s="411">
        <v>6255622.96</v>
      </c>
      <c r="H61" s="411">
        <f t="shared" si="2"/>
        <v>2042439.13</v>
      </c>
      <c r="I61" s="412">
        <f t="shared" si="1"/>
        <v>0.32649652050001426</v>
      </c>
    </row>
    <row r="62" spans="1:9" x14ac:dyDescent="0.2">
      <c r="C62" s="413"/>
      <c r="D62" s="414"/>
      <c r="E62" s="414"/>
      <c r="F62" s="415"/>
      <c r="G62" s="414"/>
      <c r="H62" s="414"/>
      <c r="I62" s="416"/>
    </row>
    <row r="63" spans="1:9" x14ac:dyDescent="0.2">
      <c r="C63" s="413"/>
      <c r="D63" s="413"/>
      <c r="E63" s="413"/>
      <c r="F63" s="413"/>
      <c r="G63" s="413"/>
      <c r="H63" s="413"/>
    </row>
    <row r="64" spans="1:9" x14ac:dyDescent="0.2">
      <c r="C64" s="413"/>
      <c r="D64" s="413"/>
      <c r="E64" s="413"/>
      <c r="F64" s="415"/>
      <c r="G64" s="413"/>
      <c r="H64" s="413"/>
    </row>
    <row r="65" spans="3:8" x14ac:dyDescent="0.2">
      <c r="C65" s="418"/>
      <c r="D65" s="413"/>
      <c r="E65" s="413"/>
      <c r="F65" s="415"/>
      <c r="G65" s="413"/>
      <c r="H65" s="413"/>
    </row>
    <row r="66" spans="3:8" x14ac:dyDescent="0.2">
      <c r="C66" s="418"/>
      <c r="D66" s="413"/>
      <c r="E66" s="413"/>
      <c r="F66" s="413"/>
      <c r="G66" s="413"/>
      <c r="H66" s="413"/>
    </row>
    <row r="67" spans="3:8" x14ac:dyDescent="0.2">
      <c r="C67" s="418"/>
      <c r="D67" s="413"/>
      <c r="E67" s="413"/>
      <c r="F67" s="413"/>
      <c r="G67" s="413"/>
      <c r="H67" s="413"/>
    </row>
    <row r="68" spans="3:8" x14ac:dyDescent="0.2">
      <c r="C68" s="413"/>
      <c r="D68" s="413"/>
      <c r="E68" s="413"/>
      <c r="F68" s="413"/>
      <c r="G68" s="413"/>
      <c r="H68" s="413"/>
    </row>
    <row r="69" spans="3:8" x14ac:dyDescent="0.2">
      <c r="C69" s="413"/>
      <c r="D69" s="413"/>
      <c r="E69" s="417"/>
      <c r="F69" s="413"/>
      <c r="G69" s="413"/>
      <c r="H69" s="413"/>
    </row>
    <row r="70" spans="3:8" x14ac:dyDescent="0.2">
      <c r="C70" s="413"/>
      <c r="D70" s="413"/>
      <c r="E70" s="413"/>
      <c r="F70" s="413"/>
      <c r="G70" s="413"/>
      <c r="H70" s="413"/>
    </row>
    <row r="71" spans="3:8" x14ac:dyDescent="0.2">
      <c r="C71" s="413"/>
      <c r="D71" s="413"/>
      <c r="E71" s="413"/>
      <c r="F71" s="413"/>
      <c r="G71" s="413"/>
      <c r="H71" s="413"/>
    </row>
    <row r="72" spans="3:8" x14ac:dyDescent="0.2">
      <c r="C72" s="413"/>
      <c r="D72" s="413"/>
      <c r="E72" s="413"/>
      <c r="F72" s="413"/>
      <c r="G72" s="413"/>
      <c r="H72" s="413"/>
    </row>
    <row r="73" spans="3:8" x14ac:dyDescent="0.2">
      <c r="C73" s="413"/>
      <c r="D73" s="413"/>
      <c r="E73" s="413"/>
      <c r="F73" s="413"/>
      <c r="G73" s="413"/>
      <c r="H73" s="413"/>
    </row>
    <row r="74" spans="3:8" x14ac:dyDescent="0.2">
      <c r="C74" s="413"/>
      <c r="D74" s="413"/>
      <c r="E74" s="413"/>
      <c r="F74" s="413"/>
      <c r="G74" s="413"/>
      <c r="H74" s="413"/>
    </row>
    <row r="75" spans="3:8" x14ac:dyDescent="0.2">
      <c r="C75" s="413"/>
      <c r="D75" s="413"/>
      <c r="E75" s="413"/>
      <c r="F75" s="413"/>
      <c r="G75" s="413"/>
      <c r="H75" s="413"/>
    </row>
    <row r="76" spans="3:8" x14ac:dyDescent="0.2">
      <c r="C76" s="413"/>
      <c r="D76" s="413"/>
      <c r="E76" s="413"/>
      <c r="F76" s="413"/>
      <c r="G76" s="413"/>
      <c r="H76" s="413"/>
    </row>
  </sheetData>
  <mergeCells count="6">
    <mergeCell ref="B52:C52"/>
    <mergeCell ref="A2:C2"/>
    <mergeCell ref="D3:D4"/>
    <mergeCell ref="E3:E4"/>
    <mergeCell ref="F3:F4"/>
    <mergeCell ref="H3:I3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opLeftCell="B121" workbookViewId="0">
      <selection activeCell="Q137" sqref="Q137"/>
    </sheetView>
  </sheetViews>
  <sheetFormatPr defaultColWidth="9.140625" defaultRowHeight="15" customHeight="1" x14ac:dyDescent="0.15"/>
  <cols>
    <col min="1" max="1" width="3.28515625" style="1" hidden="1" customWidth="1"/>
    <col min="2" max="2" width="7" style="2" customWidth="1"/>
    <col min="3" max="3" width="40.42578125" style="3" customWidth="1"/>
    <col min="4" max="4" width="7.42578125" style="4" customWidth="1"/>
    <col min="5" max="5" width="13.7109375" style="3" hidden="1" customWidth="1"/>
    <col min="6" max="6" width="13.5703125" style="3" customWidth="1"/>
    <col min="7" max="7" width="14.85546875" style="3" customWidth="1"/>
    <col min="8" max="8" width="0.28515625" style="3" hidden="1" customWidth="1"/>
    <col min="9" max="9" width="1.42578125" style="3" hidden="1" customWidth="1"/>
    <col min="10" max="10" width="0.140625" style="3" hidden="1" customWidth="1"/>
    <col min="11" max="11" width="8.42578125" style="3" hidden="1" customWidth="1"/>
    <col min="12" max="12" width="10.140625" style="3" hidden="1" customWidth="1"/>
    <col min="13" max="13" width="12.5703125" style="3" hidden="1" customWidth="1"/>
    <col min="14" max="14" width="8" style="3" customWidth="1"/>
    <col min="15" max="15" width="6.85546875" style="3" customWidth="1"/>
    <col min="16" max="16384" width="9.140625" style="3"/>
  </cols>
  <sheetData>
    <row r="1" spans="1:15" ht="15" customHeight="1" x14ac:dyDescent="0.15">
      <c r="E1" s="5">
        <f>E2-E4</f>
        <v>87610939</v>
      </c>
      <c r="F1" s="5"/>
      <c r="G1" s="5"/>
      <c r="H1" s="5">
        <f t="shared" ref="H1:J1" si="0">H2-H4</f>
        <v>5672302.6000000006</v>
      </c>
      <c r="I1" s="5">
        <f t="shared" si="0"/>
        <v>3371805.37</v>
      </c>
      <c r="J1" s="5">
        <f t="shared" si="0"/>
        <v>3591622.8200000012</v>
      </c>
      <c r="K1" s="5"/>
      <c r="L1" s="5"/>
      <c r="M1" s="5"/>
    </row>
    <row r="2" spans="1:15" ht="15" customHeight="1" x14ac:dyDescent="0.2">
      <c r="C2" s="7" t="s">
        <v>230</v>
      </c>
      <c r="D2" s="8"/>
      <c r="E2" s="9">
        <f t="shared" ref="E2:L2" si="1">SUBTOTAL(9,E13:E509)</f>
        <v>126612054</v>
      </c>
      <c r="F2" s="9"/>
      <c r="G2" s="9"/>
      <c r="H2" s="9">
        <f t="shared" si="1"/>
        <v>8297079.9000000004</v>
      </c>
      <c r="I2" s="9">
        <f t="shared" si="1"/>
        <v>5013731.9800000004</v>
      </c>
      <c r="J2" s="9">
        <f t="shared" si="1"/>
        <v>5369586.540000001</v>
      </c>
      <c r="K2" s="9">
        <f t="shared" si="1"/>
        <v>10002046.02</v>
      </c>
      <c r="L2" s="9">
        <f t="shared" si="1"/>
        <v>5691167.6500000004</v>
      </c>
      <c r="M2" s="9"/>
      <c r="N2" s="10"/>
    </row>
    <row r="3" spans="1:15" ht="36.75" customHeight="1" x14ac:dyDescent="0.15">
      <c r="C3" s="11"/>
      <c r="D3" s="12" t="s">
        <v>0</v>
      </c>
      <c r="E3" s="12" t="s">
        <v>184</v>
      </c>
      <c r="F3" s="12" t="s">
        <v>1</v>
      </c>
      <c r="G3" s="12" t="s">
        <v>2</v>
      </c>
      <c r="H3" s="13" t="s">
        <v>185</v>
      </c>
      <c r="I3" s="13" t="s">
        <v>186</v>
      </c>
      <c r="J3" s="13" t="s">
        <v>187</v>
      </c>
      <c r="K3" s="13" t="s">
        <v>188</v>
      </c>
      <c r="L3" s="13" t="s">
        <v>189</v>
      </c>
      <c r="M3" s="13" t="s">
        <v>190</v>
      </c>
      <c r="N3" s="12" t="s">
        <v>3</v>
      </c>
    </row>
    <row r="4" spans="1:15" s="21" customFormat="1" ht="18" customHeight="1" x14ac:dyDescent="0.15">
      <c r="A4" s="14" t="s">
        <v>4</v>
      </c>
      <c r="B4" s="15"/>
      <c r="C4" s="16" t="s">
        <v>5</v>
      </c>
      <c r="D4" s="17"/>
      <c r="E4" s="18">
        <f t="shared" ref="E4:M4" si="2">SUM(E5,E7,E9)</f>
        <v>39001115</v>
      </c>
      <c r="F4" s="18">
        <f t="shared" si="2"/>
        <v>46004905</v>
      </c>
      <c r="G4" s="18">
        <f t="shared" si="2"/>
        <v>18525815.580000002</v>
      </c>
      <c r="H4" s="18">
        <f t="shared" si="2"/>
        <v>2624777.2999999998</v>
      </c>
      <c r="I4" s="18">
        <f t="shared" si="2"/>
        <v>1641926.61</v>
      </c>
      <c r="J4" s="18">
        <f t="shared" si="2"/>
        <v>1777963.72</v>
      </c>
      <c r="K4" s="18">
        <f t="shared" si="2"/>
        <v>3128564.09</v>
      </c>
      <c r="L4" s="18">
        <f t="shared" si="2"/>
        <v>1675326.49</v>
      </c>
      <c r="M4" s="18">
        <f t="shared" si="2"/>
        <v>4458792.5999999996</v>
      </c>
      <c r="N4" s="19">
        <f t="shared" ref="N4:N9" si="3">ROUND(G4/F4*100,1)</f>
        <v>40.299999999999997</v>
      </c>
    </row>
    <row r="5" spans="1:15" s="21" customFormat="1" ht="18" customHeight="1" x14ac:dyDescent="0.15">
      <c r="A5" s="22"/>
      <c r="B5" s="2"/>
      <c r="C5" s="23" t="s">
        <v>6</v>
      </c>
      <c r="D5" s="24" t="s">
        <v>7</v>
      </c>
      <c r="E5" s="25">
        <f t="shared" ref="E5:M5" si="4">SUMIF($D$13:$D$509,$D5,E$13:E$509)+E6</f>
        <v>34659630</v>
      </c>
      <c r="F5" s="25">
        <f t="shared" si="4"/>
        <v>41399120</v>
      </c>
      <c r="G5" s="25">
        <f t="shared" si="4"/>
        <v>16933126.710000001</v>
      </c>
      <c r="H5" s="25">
        <f t="shared" si="4"/>
        <v>2464900.7199999997</v>
      </c>
      <c r="I5" s="25">
        <f t="shared" si="4"/>
        <v>1564589.31</v>
      </c>
      <c r="J5" s="25">
        <f t="shared" si="4"/>
        <v>1548949.24</v>
      </c>
      <c r="K5" s="25">
        <f t="shared" si="4"/>
        <v>2662766.59</v>
      </c>
      <c r="L5" s="25">
        <f t="shared" si="4"/>
        <v>1660597.75</v>
      </c>
      <c r="M5" s="25">
        <f t="shared" si="4"/>
        <v>3914120.1100000003</v>
      </c>
      <c r="N5" s="26">
        <f t="shared" si="3"/>
        <v>40.9</v>
      </c>
    </row>
    <row r="6" spans="1:15" s="32" customFormat="1" ht="15" customHeight="1" x14ac:dyDescent="0.15">
      <c r="A6" s="27"/>
      <c r="B6" s="2"/>
      <c r="C6" s="28" t="s">
        <v>8</v>
      </c>
      <c r="D6" s="29" t="s">
        <v>9</v>
      </c>
      <c r="E6" s="30">
        <f t="shared" ref="E6:M6" si="5">SUMIF($D$13:$D$509,$D6,E$13:E$509)</f>
        <v>7077041</v>
      </c>
      <c r="F6" s="30">
        <f t="shared" si="5"/>
        <v>8137729</v>
      </c>
      <c r="G6" s="30">
        <f t="shared" si="5"/>
        <v>4314232.63</v>
      </c>
      <c r="H6" s="30">
        <f t="shared" si="5"/>
        <v>257070</v>
      </c>
      <c r="I6" s="30">
        <f t="shared" si="5"/>
        <v>224785</v>
      </c>
      <c r="J6" s="30">
        <f t="shared" si="5"/>
        <v>286558</v>
      </c>
      <c r="K6" s="30">
        <f t="shared" si="5"/>
        <v>1020847</v>
      </c>
      <c r="L6" s="30">
        <f t="shared" si="5"/>
        <v>77873.350000000006</v>
      </c>
      <c r="M6" s="30">
        <f t="shared" si="5"/>
        <v>1676448.28</v>
      </c>
      <c r="N6" s="31">
        <f t="shared" si="3"/>
        <v>53</v>
      </c>
    </row>
    <row r="7" spans="1:15" s="21" customFormat="1" ht="15" customHeight="1" x14ac:dyDescent="0.15">
      <c r="A7" s="22"/>
      <c r="B7" s="15"/>
      <c r="C7" s="33" t="s">
        <v>10</v>
      </c>
      <c r="D7" s="34" t="s">
        <v>11</v>
      </c>
      <c r="E7" s="35">
        <f t="shared" ref="E7:M7" si="6">SUMIF($D$13:$D$509,$D7,E$13:E$509)+E8</f>
        <v>3481485</v>
      </c>
      <c r="F7" s="35">
        <f t="shared" si="6"/>
        <v>3745785</v>
      </c>
      <c r="G7" s="35">
        <f t="shared" si="6"/>
        <v>1422076.42</v>
      </c>
      <c r="H7" s="35">
        <f t="shared" si="6"/>
        <v>156047.6</v>
      </c>
      <c r="I7" s="35">
        <f t="shared" si="6"/>
        <v>74033.600000000006</v>
      </c>
      <c r="J7" s="35">
        <f t="shared" si="6"/>
        <v>130908.05</v>
      </c>
      <c r="K7" s="35">
        <f t="shared" si="6"/>
        <v>458728.5</v>
      </c>
      <c r="L7" s="35">
        <f t="shared" si="6"/>
        <v>4576</v>
      </c>
      <c r="M7" s="35">
        <f t="shared" si="6"/>
        <v>496520.89</v>
      </c>
      <c r="N7" s="6">
        <f t="shared" si="3"/>
        <v>38</v>
      </c>
    </row>
    <row r="8" spans="1:15" s="21" customFormat="1" ht="15" customHeight="1" x14ac:dyDescent="0.15">
      <c r="A8" s="22"/>
      <c r="B8" s="15"/>
      <c r="C8" s="28" t="s">
        <v>8</v>
      </c>
      <c r="D8" s="29" t="s">
        <v>12</v>
      </c>
      <c r="E8" s="36">
        <f t="shared" ref="E8:M9" si="7">SUMIF($D$13:$D$509,$D8,E$13:E$509)</f>
        <v>2500000</v>
      </c>
      <c r="F8" s="36">
        <f t="shared" si="7"/>
        <v>2500000</v>
      </c>
      <c r="G8" s="36">
        <f t="shared" si="7"/>
        <v>1314480.42</v>
      </c>
      <c r="H8" s="36">
        <f t="shared" si="7"/>
        <v>156047.6</v>
      </c>
      <c r="I8" s="36">
        <f t="shared" si="7"/>
        <v>69033.600000000006</v>
      </c>
      <c r="J8" s="36">
        <f t="shared" si="7"/>
        <v>100807.05</v>
      </c>
      <c r="K8" s="36">
        <f t="shared" si="7"/>
        <v>417834.5</v>
      </c>
      <c r="L8" s="36">
        <f t="shared" si="7"/>
        <v>0</v>
      </c>
      <c r="M8" s="36">
        <f t="shared" si="7"/>
        <v>469495.89</v>
      </c>
      <c r="N8" s="37">
        <f t="shared" si="3"/>
        <v>52.6</v>
      </c>
    </row>
    <row r="9" spans="1:15" s="21" customFormat="1" ht="15" customHeight="1" x14ac:dyDescent="0.15">
      <c r="A9" s="22"/>
      <c r="B9" s="15"/>
      <c r="C9" s="213" t="s">
        <v>13</v>
      </c>
      <c r="D9" s="39" t="s">
        <v>14</v>
      </c>
      <c r="E9" s="214">
        <f t="shared" si="7"/>
        <v>860000</v>
      </c>
      <c r="F9" s="214">
        <f t="shared" si="7"/>
        <v>860000</v>
      </c>
      <c r="G9" s="215">
        <f t="shared" si="7"/>
        <v>170612.44999999998</v>
      </c>
      <c r="H9" s="215">
        <f t="shared" si="7"/>
        <v>3828.98</v>
      </c>
      <c r="I9" s="215">
        <f t="shared" si="7"/>
        <v>3303.7</v>
      </c>
      <c r="J9" s="215">
        <f t="shared" si="7"/>
        <v>98106.43</v>
      </c>
      <c r="K9" s="215">
        <f t="shared" si="7"/>
        <v>7069</v>
      </c>
      <c r="L9" s="215">
        <f t="shared" si="7"/>
        <v>10152.74</v>
      </c>
      <c r="M9" s="215">
        <f t="shared" si="7"/>
        <v>48151.6</v>
      </c>
      <c r="N9" s="175">
        <f t="shared" si="3"/>
        <v>19.8</v>
      </c>
    </row>
    <row r="10" spans="1:15" s="21" customFormat="1" ht="15" customHeight="1" x14ac:dyDescent="0.15">
      <c r="A10" s="22"/>
      <c r="B10" s="15"/>
      <c r="C10" s="216"/>
      <c r="D10" s="217"/>
      <c r="E10" s="218"/>
      <c r="F10" s="218"/>
      <c r="G10" s="219"/>
      <c r="H10" s="219"/>
      <c r="I10" s="219"/>
      <c r="J10" s="219"/>
      <c r="K10" s="219"/>
      <c r="L10" s="219"/>
      <c r="M10" s="219"/>
      <c r="N10" s="220"/>
    </row>
    <row r="11" spans="1:15" s="21" customFormat="1" ht="21.75" customHeight="1" x14ac:dyDescent="0.15">
      <c r="A11" s="22"/>
      <c r="B11" s="15"/>
      <c r="C11" s="38" t="s">
        <v>15</v>
      </c>
      <c r="D11" s="39"/>
      <c r="E11" s="20"/>
      <c r="F11" s="20"/>
    </row>
    <row r="12" spans="1:15" s="21" customFormat="1" ht="15" customHeight="1" x14ac:dyDescent="0.15">
      <c r="A12" s="22"/>
      <c r="B12" s="15"/>
      <c r="D12" s="39"/>
      <c r="E12" s="40"/>
      <c r="F12" s="40"/>
      <c r="G12" s="41"/>
      <c r="H12" s="40"/>
      <c r="I12" s="40"/>
      <c r="J12" s="40"/>
      <c r="K12" s="40"/>
      <c r="L12" s="40"/>
      <c r="M12" s="40"/>
      <c r="N12" s="42"/>
    </row>
    <row r="13" spans="1:15" s="51" customFormat="1" ht="17.25" customHeight="1" x14ac:dyDescent="0.25">
      <c r="A13" s="43" t="s">
        <v>16</v>
      </c>
      <c r="B13" s="44"/>
      <c r="C13" s="45" t="s">
        <v>17</v>
      </c>
      <c r="D13" s="46"/>
      <c r="E13" s="48">
        <f t="shared" ref="E13:M13" si="8">SUM(E14,E22)</f>
        <v>2006400</v>
      </c>
      <c r="F13" s="48">
        <f t="shared" si="8"/>
        <v>2479315</v>
      </c>
      <c r="G13" s="48">
        <f t="shared" si="8"/>
        <v>422991.06999999995</v>
      </c>
      <c r="H13" s="48">
        <f t="shared" si="8"/>
        <v>104331.37999999999</v>
      </c>
      <c r="I13" s="48">
        <f t="shared" si="8"/>
        <v>137789.14000000001</v>
      </c>
      <c r="J13" s="48">
        <f t="shared" si="8"/>
        <v>145825.84999999998</v>
      </c>
      <c r="K13" s="48">
        <f t="shared" si="8"/>
        <v>9703.4</v>
      </c>
      <c r="L13" s="48">
        <f t="shared" si="8"/>
        <v>10152.74</v>
      </c>
      <c r="M13" s="48">
        <f t="shared" si="8"/>
        <v>73289.2</v>
      </c>
      <c r="N13" s="49">
        <f t="shared" ref="N13:N18" si="9">ROUND(G13/F13*100,1)</f>
        <v>17.100000000000001</v>
      </c>
      <c r="O13" s="50"/>
    </row>
    <row r="14" spans="1:15" s="58" customFormat="1" ht="15" customHeight="1" x14ac:dyDescent="0.15">
      <c r="A14" s="14" t="s">
        <v>4</v>
      </c>
      <c r="B14" s="52"/>
      <c r="C14" s="53" t="s">
        <v>19</v>
      </c>
      <c r="D14" s="54"/>
      <c r="E14" s="55">
        <f t="shared" ref="E14:M14" si="10">SUM(E15:E21)</f>
        <v>1146400</v>
      </c>
      <c r="F14" s="55">
        <f t="shared" si="10"/>
        <v>1619315</v>
      </c>
      <c r="G14" s="55">
        <f t="shared" si="10"/>
        <v>252378.62</v>
      </c>
      <c r="H14" s="55">
        <f t="shared" si="10"/>
        <v>100502.39999999999</v>
      </c>
      <c r="I14" s="55">
        <f t="shared" si="10"/>
        <v>134485.44</v>
      </c>
      <c r="J14" s="55">
        <f t="shared" si="10"/>
        <v>47719.42</v>
      </c>
      <c r="K14" s="55">
        <f t="shared" si="10"/>
        <v>2634.4</v>
      </c>
      <c r="L14" s="55">
        <f t="shared" si="10"/>
        <v>0</v>
      </c>
      <c r="M14" s="55">
        <f t="shared" si="10"/>
        <v>25137.599999999999</v>
      </c>
      <c r="N14" s="55">
        <f t="shared" si="9"/>
        <v>15.6</v>
      </c>
      <c r="O14" s="56"/>
    </row>
    <row r="15" spans="1:15" s="21" customFormat="1" ht="15" customHeight="1" x14ac:dyDescent="0.15">
      <c r="A15" s="59" t="s">
        <v>20</v>
      </c>
      <c r="B15" s="60" t="s">
        <v>21</v>
      </c>
      <c r="C15" s="61" t="s">
        <v>91</v>
      </c>
      <c r="D15" s="34" t="s">
        <v>7</v>
      </c>
      <c r="E15" s="6">
        <v>546400</v>
      </c>
      <c r="F15" s="6">
        <f>546400+5000</f>
        <v>551400</v>
      </c>
      <c r="G15" s="6">
        <v>162494.62</v>
      </c>
      <c r="H15" s="6">
        <v>60446.400000000001</v>
      </c>
      <c r="I15" s="6">
        <v>87397.440000000002</v>
      </c>
      <c r="J15" s="6">
        <v>47239.42</v>
      </c>
      <c r="K15" s="6">
        <v>374.4</v>
      </c>
      <c r="L15" s="6"/>
      <c r="M15" s="6">
        <v>25137.599999999999</v>
      </c>
      <c r="N15" s="62">
        <f t="shared" si="9"/>
        <v>29.5</v>
      </c>
      <c r="O15" s="64"/>
    </row>
    <row r="16" spans="1:15" s="21" customFormat="1" ht="15" customHeight="1" x14ac:dyDescent="0.15">
      <c r="A16" s="59" t="s">
        <v>20</v>
      </c>
      <c r="B16" s="60" t="s">
        <v>23</v>
      </c>
      <c r="C16" s="67" t="s">
        <v>24</v>
      </c>
      <c r="D16" s="34" t="s">
        <v>7</v>
      </c>
      <c r="E16" s="6">
        <v>600000</v>
      </c>
      <c r="F16" s="6">
        <f>600000+84416</f>
        <v>684416</v>
      </c>
      <c r="G16" s="6">
        <f t="shared" ref="G16:G21" si="11">SUM(H16:M16)</f>
        <v>42796</v>
      </c>
      <c r="H16" s="6">
        <v>40056</v>
      </c>
      <c r="I16" s="6"/>
      <c r="J16" s="6">
        <v>480</v>
      </c>
      <c r="K16" s="6">
        <v>2260</v>
      </c>
      <c r="L16" s="6"/>
      <c r="M16" s="6"/>
      <c r="N16" s="62">
        <f t="shared" si="9"/>
        <v>6.3</v>
      </c>
      <c r="O16" s="65"/>
    </row>
    <row r="17" spans="1:15" s="21" customFormat="1" ht="15" customHeight="1" x14ac:dyDescent="0.15">
      <c r="A17" s="203" t="s">
        <v>20</v>
      </c>
      <c r="B17" s="60" t="s">
        <v>22</v>
      </c>
      <c r="C17" s="208" t="s">
        <v>197</v>
      </c>
      <c r="D17" s="34" t="s">
        <v>7</v>
      </c>
      <c r="E17" s="6">
        <v>0</v>
      </c>
      <c r="F17" s="6">
        <v>23000</v>
      </c>
      <c r="G17" s="6">
        <f t="shared" si="11"/>
        <v>23000</v>
      </c>
      <c r="H17" s="209"/>
      <c r="I17" s="209">
        <v>23000</v>
      </c>
      <c r="J17" s="209"/>
      <c r="K17" s="209"/>
      <c r="L17" s="209"/>
      <c r="M17" s="209"/>
      <c r="N17" s="62">
        <f t="shared" si="9"/>
        <v>100</v>
      </c>
      <c r="O17" s="65"/>
    </row>
    <row r="18" spans="1:15" s="21" customFormat="1" ht="15" customHeight="1" x14ac:dyDescent="0.15">
      <c r="A18" s="203" t="s">
        <v>20</v>
      </c>
      <c r="B18" s="210" t="s">
        <v>22</v>
      </c>
      <c r="C18" s="211" t="s">
        <v>197</v>
      </c>
      <c r="D18" s="204" t="s">
        <v>9</v>
      </c>
      <c r="E18" s="205">
        <v>0</v>
      </c>
      <c r="F18" s="205">
        <v>24499</v>
      </c>
      <c r="G18" s="205">
        <f t="shared" si="11"/>
        <v>24088</v>
      </c>
      <c r="H18" s="212"/>
      <c r="I18" s="212">
        <v>24088</v>
      </c>
      <c r="J18" s="212"/>
      <c r="K18" s="212"/>
      <c r="L18" s="212"/>
      <c r="M18" s="212"/>
      <c r="N18" s="206">
        <f t="shared" si="9"/>
        <v>98.3</v>
      </c>
      <c r="O18" s="65"/>
    </row>
    <row r="19" spans="1:15" s="21" customFormat="1" ht="15" customHeight="1" x14ac:dyDescent="0.15">
      <c r="A19" s="203" t="s">
        <v>20</v>
      </c>
      <c r="B19" s="69" t="s">
        <v>23</v>
      </c>
      <c r="C19" s="251" t="s">
        <v>228</v>
      </c>
      <c r="D19" s="70" t="s">
        <v>7</v>
      </c>
      <c r="E19" s="252"/>
      <c r="F19" s="252">
        <v>40000</v>
      </c>
      <c r="G19" s="102">
        <f t="shared" si="11"/>
        <v>0</v>
      </c>
      <c r="H19" s="91"/>
      <c r="I19" s="91"/>
      <c r="J19" s="91"/>
      <c r="K19" s="91"/>
      <c r="L19" s="91"/>
      <c r="M19" s="91"/>
      <c r="N19" s="253"/>
      <c r="O19" s="65"/>
    </row>
    <row r="20" spans="1:15" s="21" customFormat="1" ht="15" customHeight="1" x14ac:dyDescent="0.15">
      <c r="A20" s="203" t="s">
        <v>20</v>
      </c>
      <c r="B20" s="69" t="s">
        <v>23</v>
      </c>
      <c r="C20" s="251" t="s">
        <v>225</v>
      </c>
      <c r="D20" s="70" t="s">
        <v>7</v>
      </c>
      <c r="E20" s="252"/>
      <c r="F20" s="252">
        <v>295000</v>
      </c>
      <c r="G20" s="102">
        <f t="shared" si="11"/>
        <v>0</v>
      </c>
      <c r="H20" s="91"/>
      <c r="I20" s="91"/>
      <c r="J20" s="91"/>
      <c r="K20" s="91"/>
      <c r="L20" s="91"/>
      <c r="M20" s="91"/>
      <c r="N20" s="253"/>
      <c r="O20" s="65"/>
    </row>
    <row r="21" spans="1:15" ht="15" customHeight="1" x14ac:dyDescent="0.15">
      <c r="A21" s="203" t="s">
        <v>20</v>
      </c>
      <c r="B21" s="69" t="s">
        <v>87</v>
      </c>
      <c r="C21" s="66" t="s">
        <v>206</v>
      </c>
      <c r="D21" s="70" t="s">
        <v>7</v>
      </c>
      <c r="E21" s="26"/>
      <c r="F21" s="26">
        <v>1000</v>
      </c>
      <c r="G21" s="6">
        <f t="shared" si="11"/>
        <v>0</v>
      </c>
      <c r="H21" s="66"/>
      <c r="I21" s="66"/>
      <c r="J21" s="66"/>
      <c r="K21" s="66"/>
      <c r="L21" s="66"/>
      <c r="M21" s="66"/>
      <c r="N21" s="207"/>
    </row>
    <row r="22" spans="1:15" s="58" customFormat="1" ht="15" customHeight="1" x14ac:dyDescent="0.15">
      <c r="A22" s="14" t="s">
        <v>4</v>
      </c>
      <c r="B22" s="72"/>
      <c r="C22" s="73" t="s">
        <v>26</v>
      </c>
      <c r="D22" s="74"/>
      <c r="E22" s="75">
        <f>SUM(E23:E24)</f>
        <v>860000</v>
      </c>
      <c r="F22" s="75">
        <f>SUM(F23:F24)</f>
        <v>860000</v>
      </c>
      <c r="G22" s="75">
        <f t="shared" ref="G22:M22" si="12">SUM(G23:G24)</f>
        <v>170612.44999999998</v>
      </c>
      <c r="H22" s="75">
        <f t="shared" si="12"/>
        <v>3828.98</v>
      </c>
      <c r="I22" s="75">
        <f t="shared" si="12"/>
        <v>3303.7</v>
      </c>
      <c r="J22" s="75">
        <f t="shared" si="12"/>
        <v>98106.43</v>
      </c>
      <c r="K22" s="75">
        <f t="shared" si="12"/>
        <v>7069</v>
      </c>
      <c r="L22" s="75">
        <f t="shared" si="12"/>
        <v>10152.74</v>
      </c>
      <c r="M22" s="75">
        <f t="shared" si="12"/>
        <v>48151.6</v>
      </c>
      <c r="N22" s="76">
        <f>ROUND(G22/F22*100,1)</f>
        <v>19.8</v>
      </c>
      <c r="O22" s="57"/>
    </row>
    <row r="23" spans="1:15" s="21" customFormat="1" ht="15" customHeight="1" x14ac:dyDescent="0.15">
      <c r="A23" s="59" t="s">
        <v>20</v>
      </c>
      <c r="B23" s="60" t="s">
        <v>27</v>
      </c>
      <c r="C23" s="61" t="s">
        <v>28</v>
      </c>
      <c r="D23" s="34" t="s">
        <v>14</v>
      </c>
      <c r="E23" s="6">
        <v>860000</v>
      </c>
      <c r="F23" s="6">
        <v>860000</v>
      </c>
      <c r="G23" s="6">
        <f>SUM(H23:M23)</f>
        <v>170612.44999999998</v>
      </c>
      <c r="H23" s="78">
        <v>3828.98</v>
      </c>
      <c r="I23" s="78">
        <v>3303.7</v>
      </c>
      <c r="J23" s="78">
        <v>98106.43</v>
      </c>
      <c r="K23" s="78">
        <v>7069</v>
      </c>
      <c r="L23" s="78">
        <v>10152.74</v>
      </c>
      <c r="M23" s="78">
        <v>48151.6</v>
      </c>
      <c r="N23" s="62">
        <f>ROUND(G23/F23*100,1)</f>
        <v>19.8</v>
      </c>
      <c r="O23" s="79"/>
    </row>
    <row r="24" spans="1:15" ht="15" customHeight="1" x14ac:dyDescent="0.15">
      <c r="A24" s="81" t="s">
        <v>25</v>
      </c>
      <c r="B24" s="82"/>
      <c r="C24" s="10"/>
      <c r="D24" s="83"/>
      <c r="E24" s="6"/>
      <c r="F24" s="6"/>
      <c r="G24" s="6"/>
      <c r="H24" s="10"/>
      <c r="I24" s="10"/>
      <c r="J24" s="10"/>
      <c r="K24" s="10"/>
      <c r="L24" s="10"/>
      <c r="M24" s="10"/>
      <c r="N24" s="260"/>
    </row>
    <row r="25" spans="1:15" s="51" customFormat="1" ht="17.25" customHeight="1" x14ac:dyDescent="0.15">
      <c r="A25" s="43" t="s">
        <v>16</v>
      </c>
      <c r="B25" s="44"/>
      <c r="C25" s="45" t="s">
        <v>30</v>
      </c>
      <c r="D25" s="46"/>
      <c r="E25" s="47">
        <f>SUM(E26,E29,E59,E70,E67,E75)</f>
        <v>16474496</v>
      </c>
      <c r="F25" s="47">
        <f>SUM(F26,F29,F59,F70,F67,F75)</f>
        <v>18515846</v>
      </c>
      <c r="G25" s="47">
        <f t="shared" ref="G25:M25" si="13">SUM(G26,G29,G59,G70,G67,G75)</f>
        <v>7076077.8800000008</v>
      </c>
      <c r="H25" s="47">
        <f t="shared" si="13"/>
        <v>590162.6</v>
      </c>
      <c r="I25" s="47">
        <f t="shared" si="13"/>
        <v>156591.75</v>
      </c>
      <c r="J25" s="47">
        <f t="shared" si="13"/>
        <v>227065.27</v>
      </c>
      <c r="K25" s="47">
        <f t="shared" si="13"/>
        <v>1366640.15</v>
      </c>
      <c r="L25" s="47">
        <f t="shared" si="13"/>
        <v>762115.02999999991</v>
      </c>
      <c r="M25" s="47">
        <f t="shared" si="13"/>
        <v>3872241.3000000007</v>
      </c>
      <c r="N25" s="261">
        <f>ROUND(G25/F25*100,1)</f>
        <v>38.200000000000003</v>
      </c>
      <c r="O25" s="84"/>
    </row>
    <row r="26" spans="1:15" s="87" customFormat="1" ht="15" customHeight="1" x14ac:dyDescent="0.15">
      <c r="A26" s="14" t="s">
        <v>4</v>
      </c>
      <c r="B26" s="52"/>
      <c r="C26" s="53" t="s">
        <v>32</v>
      </c>
      <c r="D26" s="85"/>
      <c r="E26" s="86">
        <f t="shared" ref="E26:M26" si="14">SUM(E27:E28)</f>
        <v>2150000</v>
      </c>
      <c r="F26" s="86">
        <f t="shared" si="14"/>
        <v>2150000</v>
      </c>
      <c r="G26" s="86">
        <f t="shared" si="14"/>
        <v>284688</v>
      </c>
      <c r="H26" s="86">
        <f t="shared" si="14"/>
        <v>0</v>
      </c>
      <c r="I26" s="86">
        <f t="shared" si="14"/>
        <v>0</v>
      </c>
      <c r="J26" s="86">
        <f t="shared" si="14"/>
        <v>0</v>
      </c>
      <c r="K26" s="86">
        <f t="shared" si="14"/>
        <v>284688</v>
      </c>
      <c r="L26" s="86">
        <f t="shared" si="14"/>
        <v>0</v>
      </c>
      <c r="M26" s="86">
        <f t="shared" si="14"/>
        <v>0</v>
      </c>
      <c r="N26" s="259">
        <f>ROUND(G26/F26*100,1)</f>
        <v>13.2</v>
      </c>
    </row>
    <row r="27" spans="1:15" s="21" customFormat="1" ht="15" customHeight="1" x14ac:dyDescent="0.15">
      <c r="A27" s="59" t="s">
        <v>20</v>
      </c>
      <c r="B27" s="60" t="s">
        <v>33</v>
      </c>
      <c r="C27" s="61" t="s">
        <v>34</v>
      </c>
      <c r="D27" s="34" t="s">
        <v>7</v>
      </c>
      <c r="E27" s="6">
        <v>2150000</v>
      </c>
      <c r="F27" s="6">
        <v>2150000</v>
      </c>
      <c r="G27" s="6">
        <f>SUM(H27:M27)</f>
        <v>284688</v>
      </c>
      <c r="H27" s="6"/>
      <c r="I27" s="6"/>
      <c r="J27" s="6"/>
      <c r="K27" s="6">
        <v>284688</v>
      </c>
      <c r="L27" s="6"/>
      <c r="M27" s="6"/>
      <c r="N27" s="6">
        <f>ROUND(G27/F27*100,1)</f>
        <v>13.2</v>
      </c>
      <c r="O27" s="88"/>
    </row>
    <row r="28" spans="1:15" ht="15" customHeight="1" x14ac:dyDescent="0.15">
      <c r="A28" s="68" t="s">
        <v>25</v>
      </c>
      <c r="B28" s="69"/>
      <c r="C28" s="66"/>
      <c r="D28" s="70"/>
      <c r="E28" s="66"/>
      <c r="F28" s="66"/>
      <c r="G28" s="6"/>
      <c r="H28" s="66"/>
      <c r="I28" s="66"/>
      <c r="J28" s="66"/>
      <c r="K28" s="66"/>
      <c r="L28" s="66"/>
      <c r="M28" s="66"/>
      <c r="N28" s="6"/>
    </row>
    <row r="29" spans="1:15" ht="15" customHeight="1" x14ac:dyDescent="0.15">
      <c r="A29" s="14" t="s">
        <v>4</v>
      </c>
      <c r="B29" s="89"/>
      <c r="C29" s="73" t="s">
        <v>35</v>
      </c>
      <c r="D29" s="90"/>
      <c r="E29" s="76">
        <f>SUM(E30,E44,E47,E55)</f>
        <v>9022000</v>
      </c>
      <c r="F29" s="76">
        <f>SUM(F30,F44,F47,F55)</f>
        <v>9677000</v>
      </c>
      <c r="G29" s="76">
        <f t="shared" ref="G29:M29" si="15">SUM(G30,G44,G47,G55)</f>
        <v>2517382.6800000002</v>
      </c>
      <c r="H29" s="76">
        <f t="shared" si="15"/>
        <v>420690</v>
      </c>
      <c r="I29" s="76">
        <f t="shared" si="15"/>
        <v>86908.150000000009</v>
      </c>
      <c r="J29" s="76">
        <f t="shared" si="15"/>
        <v>71490.62</v>
      </c>
      <c r="K29" s="76">
        <f t="shared" si="15"/>
        <v>595877.65</v>
      </c>
      <c r="L29" s="76">
        <f t="shared" si="15"/>
        <v>691584.17999999993</v>
      </c>
      <c r="M29" s="76">
        <f t="shared" si="15"/>
        <v>650832.08000000007</v>
      </c>
      <c r="N29" s="76">
        <f t="shared" ref="N29:N42" si="16">ROUND(G29/F29*100,1)</f>
        <v>26</v>
      </c>
      <c r="O29" s="79"/>
    </row>
    <row r="30" spans="1:15" s="98" customFormat="1" ht="15" customHeight="1" x14ac:dyDescent="0.15">
      <c r="A30" s="92"/>
      <c r="B30" s="93"/>
      <c r="C30" s="94" t="s">
        <v>36</v>
      </c>
      <c r="D30" s="95"/>
      <c r="E30" s="96">
        <f>SUM(E31:E43)</f>
        <v>5200000</v>
      </c>
      <c r="F30" s="274">
        <f>SUM(F31:F43)</f>
        <v>5570000</v>
      </c>
      <c r="G30" s="274">
        <f t="shared" ref="G30:M30" si="17">SUM(G31:G43)</f>
        <v>1541022.71</v>
      </c>
      <c r="H30" s="274">
        <f t="shared" si="17"/>
        <v>334006</v>
      </c>
      <c r="I30" s="274">
        <f t="shared" si="17"/>
        <v>77128.150000000009</v>
      </c>
      <c r="J30" s="274">
        <f t="shared" si="17"/>
        <v>16870.739999999998</v>
      </c>
      <c r="K30" s="274">
        <f t="shared" si="17"/>
        <v>234626.05000000002</v>
      </c>
      <c r="L30" s="274">
        <f t="shared" si="17"/>
        <v>437321.05999999994</v>
      </c>
      <c r="M30" s="274">
        <f t="shared" si="17"/>
        <v>441070.71</v>
      </c>
      <c r="N30" s="275">
        <f t="shared" si="16"/>
        <v>27.7</v>
      </c>
      <c r="O30" s="97"/>
    </row>
    <row r="31" spans="1:15" s="21" customFormat="1" ht="15" customHeight="1" x14ac:dyDescent="0.15">
      <c r="A31" s="59" t="s">
        <v>20</v>
      </c>
      <c r="B31" s="60" t="s">
        <v>22</v>
      </c>
      <c r="C31" s="99" t="s">
        <v>92</v>
      </c>
      <c r="D31" s="34" t="s">
        <v>7</v>
      </c>
      <c r="E31" s="6">
        <v>1000000</v>
      </c>
      <c r="F31" s="26">
        <f>1000000-110000</f>
        <v>890000</v>
      </c>
      <c r="G31" s="26">
        <f t="shared" ref="G31:G42" si="18">SUM(H31:M31)</f>
        <v>456511.77</v>
      </c>
      <c r="H31" s="26">
        <v>191156</v>
      </c>
      <c r="I31" s="26">
        <v>631.15</v>
      </c>
      <c r="J31" s="26">
        <v>1392.74</v>
      </c>
      <c r="K31" s="26">
        <v>87447.83</v>
      </c>
      <c r="L31" s="26">
        <v>81563.64</v>
      </c>
      <c r="M31" s="26">
        <v>94320.41</v>
      </c>
      <c r="N31" s="26">
        <f t="shared" si="16"/>
        <v>51.3</v>
      </c>
      <c r="O31" s="79"/>
    </row>
    <row r="32" spans="1:15" s="21" customFormat="1" ht="15" customHeight="1" x14ac:dyDescent="0.15">
      <c r="A32" s="59" t="s">
        <v>20</v>
      </c>
      <c r="B32" s="60" t="s">
        <v>22</v>
      </c>
      <c r="C32" s="99" t="s">
        <v>93</v>
      </c>
      <c r="D32" s="34" t="s">
        <v>7</v>
      </c>
      <c r="E32" s="6">
        <v>850000</v>
      </c>
      <c r="F32" s="102">
        <f>850000-35000</f>
        <v>815000</v>
      </c>
      <c r="G32" s="6">
        <f t="shared" si="18"/>
        <v>383323.49</v>
      </c>
      <c r="H32" s="6">
        <v>142850</v>
      </c>
      <c r="I32" s="6"/>
      <c r="J32" s="6">
        <v>2074</v>
      </c>
      <c r="K32" s="6">
        <v>2714.82</v>
      </c>
      <c r="L32" s="6">
        <f>105442.09</f>
        <v>105442.09</v>
      </c>
      <c r="M32" s="6">
        <v>130242.58</v>
      </c>
      <c r="N32" s="6">
        <f t="shared" si="16"/>
        <v>47</v>
      </c>
      <c r="O32" s="91"/>
    </row>
    <row r="33" spans="1:15" s="21" customFormat="1" ht="15" customHeight="1" x14ac:dyDescent="0.15">
      <c r="A33" s="59" t="s">
        <v>20</v>
      </c>
      <c r="B33" s="60" t="s">
        <v>22</v>
      </c>
      <c r="C33" s="99" t="s">
        <v>94</v>
      </c>
      <c r="D33" s="34" t="s">
        <v>7</v>
      </c>
      <c r="E33" s="6">
        <v>800000</v>
      </c>
      <c r="F33" s="6">
        <f>800000+400000</f>
        <v>1200000</v>
      </c>
      <c r="G33" s="6">
        <f t="shared" si="18"/>
        <v>63614.63</v>
      </c>
      <c r="H33" s="6"/>
      <c r="I33" s="6">
        <v>112.2</v>
      </c>
      <c r="J33" s="6"/>
      <c r="K33" s="6">
        <v>51720</v>
      </c>
      <c r="L33" s="6">
        <v>11782.43</v>
      </c>
      <c r="M33" s="6"/>
      <c r="N33" s="6">
        <f t="shared" si="16"/>
        <v>5.3</v>
      </c>
      <c r="O33" s="91"/>
    </row>
    <row r="34" spans="1:15" s="21" customFormat="1" ht="15" customHeight="1" x14ac:dyDescent="0.15">
      <c r="A34" s="59" t="s">
        <v>20</v>
      </c>
      <c r="B34" s="60" t="s">
        <v>22</v>
      </c>
      <c r="C34" s="101" t="s">
        <v>95</v>
      </c>
      <c r="D34" s="34" t="s">
        <v>7</v>
      </c>
      <c r="E34" s="102">
        <v>450000</v>
      </c>
      <c r="F34" s="102">
        <v>450000</v>
      </c>
      <c r="G34" s="6">
        <f t="shared" si="18"/>
        <v>46396.2</v>
      </c>
      <c r="H34" s="102"/>
      <c r="I34" s="102">
        <v>112.2</v>
      </c>
      <c r="J34" s="102"/>
      <c r="K34" s="102"/>
      <c r="L34" s="102">
        <v>46284</v>
      </c>
      <c r="M34" s="102"/>
      <c r="N34" s="6">
        <f t="shared" si="16"/>
        <v>10.3</v>
      </c>
      <c r="O34" s="91"/>
    </row>
    <row r="35" spans="1:15" s="21" customFormat="1" ht="15" customHeight="1" x14ac:dyDescent="0.15">
      <c r="A35" s="59" t="s">
        <v>20</v>
      </c>
      <c r="B35" s="60" t="s">
        <v>22</v>
      </c>
      <c r="C35" s="101" t="s">
        <v>207</v>
      </c>
      <c r="D35" s="34" t="s">
        <v>7</v>
      </c>
      <c r="E35" s="102">
        <v>450000</v>
      </c>
      <c r="F35" s="102">
        <f>450000+125000</f>
        <v>575000</v>
      </c>
      <c r="G35" s="6">
        <f t="shared" si="18"/>
        <v>179153.82</v>
      </c>
      <c r="H35" s="102"/>
      <c r="I35" s="102">
        <v>51220.800000000003</v>
      </c>
      <c r="J35" s="102"/>
      <c r="K35" s="102"/>
      <c r="L35" s="102">
        <v>1614</v>
      </c>
      <c r="M35" s="102">
        <v>126319.02</v>
      </c>
      <c r="N35" s="6">
        <f t="shared" si="16"/>
        <v>31.2</v>
      </c>
      <c r="O35" s="88"/>
    </row>
    <row r="36" spans="1:15" s="21" customFormat="1" ht="15" customHeight="1" x14ac:dyDescent="0.15">
      <c r="A36" s="59" t="s">
        <v>20</v>
      </c>
      <c r="B36" s="60" t="s">
        <v>22</v>
      </c>
      <c r="C36" s="101" t="s">
        <v>96</v>
      </c>
      <c r="D36" s="34" t="s">
        <v>7</v>
      </c>
      <c r="E36" s="102">
        <v>350000</v>
      </c>
      <c r="F36" s="102">
        <f>350000-80000</f>
        <v>270000</v>
      </c>
      <c r="G36" s="6">
        <f t="shared" si="18"/>
        <v>180834.69999999998</v>
      </c>
      <c r="H36" s="102"/>
      <c r="I36" s="102"/>
      <c r="J36" s="102"/>
      <c r="K36" s="102">
        <v>41935.4</v>
      </c>
      <c r="L36" s="102">
        <v>138899.29999999999</v>
      </c>
      <c r="M36" s="102"/>
      <c r="N36" s="6">
        <f t="shared" si="16"/>
        <v>67</v>
      </c>
      <c r="O36" s="64"/>
    </row>
    <row r="37" spans="1:15" s="21" customFormat="1" ht="17.25" customHeight="1" x14ac:dyDescent="0.15">
      <c r="A37" s="59" t="s">
        <v>20</v>
      </c>
      <c r="B37" s="60" t="s">
        <v>22</v>
      </c>
      <c r="C37" s="103" t="s">
        <v>97</v>
      </c>
      <c r="D37" s="34" t="s">
        <v>7</v>
      </c>
      <c r="E37" s="6">
        <v>350000</v>
      </c>
      <c r="F37" s="6">
        <f>350000+150000</f>
        <v>500000</v>
      </c>
      <c r="G37" s="6">
        <f t="shared" si="18"/>
        <v>112.2</v>
      </c>
      <c r="H37" s="6"/>
      <c r="I37" s="6"/>
      <c r="J37" s="6"/>
      <c r="K37" s="6"/>
      <c r="L37" s="6"/>
      <c r="M37" s="6">
        <v>112.2</v>
      </c>
      <c r="N37" s="6">
        <f t="shared" si="16"/>
        <v>0</v>
      </c>
      <c r="O37" s="88"/>
    </row>
    <row r="38" spans="1:15" s="21" customFormat="1" ht="15" customHeight="1" x14ac:dyDescent="0.15">
      <c r="A38" s="59" t="s">
        <v>20</v>
      </c>
      <c r="B38" s="60" t="s">
        <v>22</v>
      </c>
      <c r="C38" s="101" t="s">
        <v>98</v>
      </c>
      <c r="D38" s="34" t="s">
        <v>7</v>
      </c>
      <c r="E38" s="6">
        <v>300000</v>
      </c>
      <c r="F38" s="6">
        <f>300000-180000</f>
        <v>120000</v>
      </c>
      <c r="G38" s="6">
        <f t="shared" si="18"/>
        <v>96616.1</v>
      </c>
      <c r="H38" s="6"/>
      <c r="I38" s="6">
        <v>15039.6</v>
      </c>
      <c r="J38" s="6"/>
      <c r="K38" s="6"/>
      <c r="L38" s="6"/>
      <c r="M38" s="6">
        <v>81576.5</v>
      </c>
      <c r="N38" s="6">
        <f t="shared" si="16"/>
        <v>80.5</v>
      </c>
      <c r="O38" s="88"/>
    </row>
    <row r="39" spans="1:15" s="21" customFormat="1" ht="15" customHeight="1" x14ac:dyDescent="0.15">
      <c r="A39" s="59" t="s">
        <v>20</v>
      </c>
      <c r="B39" s="60" t="s">
        <v>22</v>
      </c>
      <c r="C39" s="101" t="s">
        <v>99</v>
      </c>
      <c r="D39" s="34" t="s">
        <v>7</v>
      </c>
      <c r="E39" s="6">
        <v>225000</v>
      </c>
      <c r="F39" s="6">
        <v>225000</v>
      </c>
      <c r="G39" s="6">
        <f t="shared" si="18"/>
        <v>15916</v>
      </c>
      <c r="H39" s="6"/>
      <c r="I39" s="6"/>
      <c r="J39" s="6"/>
      <c r="K39" s="6">
        <v>14016</v>
      </c>
      <c r="L39" s="6"/>
      <c r="M39" s="6">
        <v>1900</v>
      </c>
      <c r="N39" s="6">
        <f t="shared" si="16"/>
        <v>7.1</v>
      </c>
      <c r="O39" s="64"/>
    </row>
    <row r="40" spans="1:15" s="21" customFormat="1" ht="15" customHeight="1" x14ac:dyDescent="0.15">
      <c r="A40" s="59" t="s">
        <v>20</v>
      </c>
      <c r="B40" s="60" t="s">
        <v>22</v>
      </c>
      <c r="C40" s="101" t="s">
        <v>100</v>
      </c>
      <c r="D40" s="34" t="s">
        <v>7</v>
      </c>
      <c r="E40" s="6">
        <v>200000</v>
      </c>
      <c r="F40" s="6">
        <v>200000</v>
      </c>
      <c r="G40" s="6">
        <f t="shared" si="18"/>
        <v>58620</v>
      </c>
      <c r="H40" s="6"/>
      <c r="I40" s="6">
        <v>9900</v>
      </c>
      <c r="J40" s="6">
        <v>13080</v>
      </c>
      <c r="K40" s="6">
        <v>25800</v>
      </c>
      <c r="L40" s="6">
        <v>9840</v>
      </c>
      <c r="M40" s="6"/>
      <c r="N40" s="6">
        <f t="shared" si="16"/>
        <v>29.3</v>
      </c>
      <c r="O40" s="88"/>
    </row>
    <row r="41" spans="1:15" s="21" customFormat="1" ht="15" customHeight="1" x14ac:dyDescent="0.15">
      <c r="A41" s="59" t="s">
        <v>20</v>
      </c>
      <c r="B41" s="60" t="s">
        <v>22</v>
      </c>
      <c r="C41" s="101" t="s">
        <v>101</v>
      </c>
      <c r="D41" s="34" t="s">
        <v>7</v>
      </c>
      <c r="E41" s="6">
        <v>125000</v>
      </c>
      <c r="F41" s="6">
        <v>125000</v>
      </c>
      <c r="G41" s="6">
        <f t="shared" si="18"/>
        <v>44407.799999999996</v>
      </c>
      <c r="H41" s="6"/>
      <c r="I41" s="6">
        <v>112.2</v>
      </c>
      <c r="J41" s="6"/>
      <c r="K41" s="6"/>
      <c r="L41" s="6">
        <v>41895.599999999999</v>
      </c>
      <c r="M41" s="6">
        <v>2400</v>
      </c>
      <c r="N41" s="6">
        <f t="shared" si="16"/>
        <v>35.5</v>
      </c>
      <c r="O41" s="64"/>
    </row>
    <row r="42" spans="1:15" s="21" customFormat="1" ht="15" customHeight="1" x14ac:dyDescent="0.15">
      <c r="A42" s="59" t="s">
        <v>20</v>
      </c>
      <c r="B42" s="60" t="s">
        <v>22</v>
      </c>
      <c r="C42" s="101" t="s">
        <v>102</v>
      </c>
      <c r="D42" s="34" t="s">
        <v>7</v>
      </c>
      <c r="E42" s="6">
        <v>100000</v>
      </c>
      <c r="F42" s="6">
        <f>100000+100000</f>
        <v>200000</v>
      </c>
      <c r="G42" s="6">
        <f t="shared" si="18"/>
        <v>15516</v>
      </c>
      <c r="H42" s="6"/>
      <c r="I42" s="6"/>
      <c r="J42" s="6">
        <v>324</v>
      </c>
      <c r="K42" s="6">
        <v>10992</v>
      </c>
      <c r="L42" s="6"/>
      <c r="M42" s="6">
        <v>4200</v>
      </c>
      <c r="N42" s="6">
        <f t="shared" si="16"/>
        <v>7.8</v>
      </c>
      <c r="O42" s="88"/>
    </row>
    <row r="43" spans="1:15" ht="15" customHeight="1" x14ac:dyDescent="0.15">
      <c r="A43" s="68" t="s">
        <v>25</v>
      </c>
      <c r="B43" s="104"/>
      <c r="C43" s="105"/>
      <c r="D43" s="106"/>
      <c r="E43" s="105"/>
      <c r="F43" s="105"/>
      <c r="G43" s="105"/>
      <c r="H43" s="105"/>
      <c r="I43" s="105"/>
      <c r="J43" s="105"/>
      <c r="K43" s="105"/>
      <c r="L43" s="105"/>
      <c r="M43" s="105"/>
      <c r="N43" s="107"/>
    </row>
    <row r="44" spans="1:15" s="111" customFormat="1" ht="15" customHeight="1" x14ac:dyDescent="0.15">
      <c r="A44" s="108"/>
      <c r="B44" s="109"/>
      <c r="C44" s="94" t="s">
        <v>37</v>
      </c>
      <c r="D44" s="95"/>
      <c r="E44" s="96">
        <f>SUM(E45:E46)</f>
        <v>1000000</v>
      </c>
      <c r="F44" s="96">
        <f>SUM(F45:F46)</f>
        <v>1150000</v>
      </c>
      <c r="G44" s="96">
        <f t="shared" ref="G44:M44" si="19">SUM(G45:G46)</f>
        <v>445281.75</v>
      </c>
      <c r="H44" s="96">
        <f t="shared" si="19"/>
        <v>27067</v>
      </c>
      <c r="I44" s="96">
        <f t="shared" si="19"/>
        <v>7860</v>
      </c>
      <c r="J44" s="96">
        <f t="shared" si="19"/>
        <v>0</v>
      </c>
      <c r="K44" s="96">
        <f t="shared" si="19"/>
        <v>265471.57</v>
      </c>
      <c r="L44" s="96">
        <f t="shared" si="19"/>
        <v>74818.37</v>
      </c>
      <c r="M44" s="96">
        <f t="shared" si="19"/>
        <v>70064.81</v>
      </c>
      <c r="N44" s="96">
        <f>ROUND(G44/F44*100,1)</f>
        <v>38.700000000000003</v>
      </c>
      <c r="O44" s="110"/>
    </row>
    <row r="45" spans="1:15" ht="15" customHeight="1" x14ac:dyDescent="0.15">
      <c r="A45" s="59" t="s">
        <v>20</v>
      </c>
      <c r="B45" s="112" t="s">
        <v>22</v>
      </c>
      <c r="C45" s="113" t="s">
        <v>38</v>
      </c>
      <c r="D45" s="114" t="s">
        <v>7</v>
      </c>
      <c r="E45" s="102">
        <v>1000000</v>
      </c>
      <c r="F45" s="102">
        <f>1000000+150000</f>
        <v>1150000</v>
      </c>
      <c r="G45" s="6">
        <f>SUM(H45:M45)</f>
        <v>445281.75</v>
      </c>
      <c r="H45" s="102">
        <v>27067</v>
      </c>
      <c r="I45" s="102">
        <v>7860</v>
      </c>
      <c r="J45" s="102"/>
      <c r="K45" s="102">
        <v>265471.57</v>
      </c>
      <c r="L45" s="102">
        <f>35979.47+38838.9</f>
        <v>74818.37</v>
      </c>
      <c r="M45" s="102">
        <v>70064.81</v>
      </c>
      <c r="N45" s="6">
        <f>ROUND(G45/F45*100,1)</f>
        <v>38.700000000000003</v>
      </c>
      <c r="O45" s="91"/>
    </row>
    <row r="46" spans="1:15" ht="15" customHeight="1" x14ac:dyDescent="0.15">
      <c r="A46" s="68" t="s">
        <v>25</v>
      </c>
      <c r="B46" s="104" t="s">
        <v>22</v>
      </c>
      <c r="C46" s="105"/>
      <c r="D46" s="106"/>
      <c r="E46" s="105"/>
      <c r="F46" s="105"/>
      <c r="G46" s="105"/>
      <c r="H46" s="105"/>
      <c r="I46" s="105"/>
      <c r="J46" s="105"/>
      <c r="K46" s="105"/>
      <c r="L46" s="105"/>
      <c r="M46" s="105"/>
      <c r="N46" s="107"/>
    </row>
    <row r="47" spans="1:15" s="98" customFormat="1" ht="15" customHeight="1" x14ac:dyDescent="0.15">
      <c r="A47" s="92"/>
      <c r="B47" s="93"/>
      <c r="C47" s="94" t="s">
        <v>39</v>
      </c>
      <c r="D47" s="115"/>
      <c r="E47" s="96">
        <f t="shared" ref="E47" si="20">SUM(E48:E54)</f>
        <v>2690000</v>
      </c>
      <c r="F47" s="96">
        <f t="shared" ref="F47:M47" si="21">SUM(F48:F54)</f>
        <v>2825000</v>
      </c>
      <c r="G47" s="96">
        <f t="shared" si="21"/>
        <v>528039.82000000007</v>
      </c>
      <c r="H47" s="96">
        <f t="shared" si="21"/>
        <v>59617</v>
      </c>
      <c r="I47" s="96">
        <f t="shared" si="21"/>
        <v>1920</v>
      </c>
      <c r="J47" s="96">
        <f t="shared" si="21"/>
        <v>54619.880000000005</v>
      </c>
      <c r="K47" s="96">
        <f t="shared" si="21"/>
        <v>94928.03</v>
      </c>
      <c r="L47" s="96">
        <f t="shared" si="21"/>
        <v>177258.35</v>
      </c>
      <c r="M47" s="96">
        <f t="shared" si="21"/>
        <v>139696.56</v>
      </c>
      <c r="N47" s="116">
        <f t="shared" ref="N47:N53" si="22">ROUND(G47/F47*100,1)</f>
        <v>18.7</v>
      </c>
    </row>
    <row r="48" spans="1:15" s="21" customFormat="1" ht="15" customHeight="1" x14ac:dyDescent="0.15">
      <c r="A48" s="59" t="s">
        <v>20</v>
      </c>
      <c r="B48" s="60" t="s">
        <v>22</v>
      </c>
      <c r="C48" s="117" t="s">
        <v>103</v>
      </c>
      <c r="D48" s="34" t="s">
        <v>7</v>
      </c>
      <c r="E48" s="6">
        <v>500000</v>
      </c>
      <c r="F48" s="6">
        <v>500000</v>
      </c>
      <c r="G48" s="6">
        <f t="shared" ref="G48:G54" si="23">SUM(H48:M48)</f>
        <v>230339.19</v>
      </c>
      <c r="H48" s="6">
        <v>24982</v>
      </c>
      <c r="I48" s="6">
        <v>1920</v>
      </c>
      <c r="J48" s="6">
        <v>21864.880000000001</v>
      </c>
      <c r="K48" s="6">
        <v>43264.03</v>
      </c>
      <c r="L48" s="6">
        <v>78180</v>
      </c>
      <c r="M48" s="6">
        <v>60128.28</v>
      </c>
      <c r="N48" s="6">
        <f t="shared" si="22"/>
        <v>46.1</v>
      </c>
    </row>
    <row r="49" spans="1:15" s="21" customFormat="1" ht="15" customHeight="1" x14ac:dyDescent="0.15">
      <c r="A49" s="59" t="s">
        <v>20</v>
      </c>
      <c r="B49" s="60" t="s">
        <v>22</v>
      </c>
      <c r="C49" s="118" t="s">
        <v>103</v>
      </c>
      <c r="D49" s="29" t="s">
        <v>9</v>
      </c>
      <c r="E49" s="31">
        <v>740000</v>
      </c>
      <c r="F49" s="31">
        <v>740000</v>
      </c>
      <c r="G49" s="205">
        <f t="shared" si="23"/>
        <v>229965.63</v>
      </c>
      <c r="H49" s="31">
        <v>34593</v>
      </c>
      <c r="I49" s="31"/>
      <c r="J49" s="31">
        <v>19555</v>
      </c>
      <c r="K49" s="31">
        <v>41344</v>
      </c>
      <c r="L49" s="31">
        <v>76265.350000000006</v>
      </c>
      <c r="M49" s="31">
        <v>58208.28</v>
      </c>
      <c r="N49" s="31">
        <f t="shared" si="22"/>
        <v>31.1</v>
      </c>
    </row>
    <row r="50" spans="1:15" s="21" customFormat="1" ht="15" customHeight="1" x14ac:dyDescent="0.15">
      <c r="A50" s="59" t="s">
        <v>20</v>
      </c>
      <c r="B50" s="60" t="s">
        <v>22</v>
      </c>
      <c r="C50" s="117" t="s">
        <v>104</v>
      </c>
      <c r="D50" s="114" t="s">
        <v>7</v>
      </c>
      <c r="E50" s="102">
        <v>250000</v>
      </c>
      <c r="F50" s="102">
        <v>250000</v>
      </c>
      <c r="G50" s="6">
        <f t="shared" si="23"/>
        <v>36000</v>
      </c>
      <c r="H50" s="102"/>
      <c r="I50" s="102"/>
      <c r="J50" s="102">
        <v>13200</v>
      </c>
      <c r="K50" s="102"/>
      <c r="L50" s="102">
        <v>22800</v>
      </c>
      <c r="M50" s="102"/>
      <c r="N50" s="6">
        <f t="shared" si="22"/>
        <v>14.4</v>
      </c>
    </row>
    <row r="51" spans="1:15" s="21" customFormat="1" ht="15" customHeight="1" x14ac:dyDescent="0.15">
      <c r="A51" s="59" t="s">
        <v>20</v>
      </c>
      <c r="B51" s="60" t="s">
        <v>22</v>
      </c>
      <c r="C51" s="118" t="s">
        <v>104</v>
      </c>
      <c r="D51" s="29" t="s">
        <v>9</v>
      </c>
      <c r="E51" s="31">
        <v>750000</v>
      </c>
      <c r="F51" s="31">
        <v>750000</v>
      </c>
      <c r="G51" s="205">
        <f t="shared" si="23"/>
        <v>0</v>
      </c>
      <c r="H51" s="31"/>
      <c r="I51" s="31"/>
      <c r="J51" s="31"/>
      <c r="K51" s="31"/>
      <c r="L51" s="31"/>
      <c r="M51" s="31"/>
      <c r="N51" s="31">
        <f t="shared" si="22"/>
        <v>0</v>
      </c>
    </row>
    <row r="52" spans="1:15" s="21" customFormat="1" ht="15" customHeight="1" x14ac:dyDescent="0.15">
      <c r="A52" s="59" t="s">
        <v>20</v>
      </c>
      <c r="B52" s="60" t="s">
        <v>22</v>
      </c>
      <c r="C52" s="117" t="s">
        <v>105</v>
      </c>
      <c r="D52" s="114" t="s">
        <v>7</v>
      </c>
      <c r="E52" s="102">
        <v>333000</v>
      </c>
      <c r="F52" s="102">
        <v>333000</v>
      </c>
      <c r="G52" s="6">
        <f t="shared" si="23"/>
        <v>31722</v>
      </c>
      <c r="H52" s="102">
        <v>42</v>
      </c>
      <c r="I52" s="102"/>
      <c r="J52" s="102"/>
      <c r="K52" s="102">
        <v>10320</v>
      </c>
      <c r="L52" s="102"/>
      <c r="M52" s="102">
        <v>21360</v>
      </c>
      <c r="N52" s="102">
        <f t="shared" si="22"/>
        <v>9.5</v>
      </c>
    </row>
    <row r="53" spans="1:15" s="21" customFormat="1" ht="15" customHeight="1" x14ac:dyDescent="0.15">
      <c r="A53" s="59" t="s">
        <v>20</v>
      </c>
      <c r="B53" s="60" t="s">
        <v>22</v>
      </c>
      <c r="C53" s="118" t="s">
        <v>105</v>
      </c>
      <c r="D53" s="29" t="s">
        <v>9</v>
      </c>
      <c r="E53" s="31">
        <v>117000</v>
      </c>
      <c r="F53" s="31">
        <v>117000</v>
      </c>
      <c r="G53" s="205">
        <f t="shared" si="23"/>
        <v>0</v>
      </c>
      <c r="H53" s="31"/>
      <c r="I53" s="31"/>
      <c r="J53" s="31"/>
      <c r="K53" s="31"/>
      <c r="L53" s="31"/>
      <c r="M53" s="31"/>
      <c r="N53" s="31">
        <f t="shared" si="22"/>
        <v>0</v>
      </c>
    </row>
    <row r="54" spans="1:15" ht="15" customHeight="1" x14ac:dyDescent="0.15">
      <c r="A54" s="59" t="s">
        <v>20</v>
      </c>
      <c r="B54" s="104" t="s">
        <v>22</v>
      </c>
      <c r="C54" s="66" t="s">
        <v>208</v>
      </c>
      <c r="D54" s="70" t="s">
        <v>7</v>
      </c>
      <c r="E54" s="66"/>
      <c r="F54" s="91">
        <v>135000</v>
      </c>
      <c r="G54" s="102">
        <f t="shared" si="23"/>
        <v>13</v>
      </c>
      <c r="H54" s="66"/>
      <c r="I54" s="66"/>
      <c r="J54" s="66"/>
      <c r="K54" s="66"/>
      <c r="L54" s="66">
        <v>13</v>
      </c>
      <c r="M54" s="66"/>
      <c r="N54" s="71"/>
    </row>
    <row r="55" spans="1:15" s="98" customFormat="1" ht="15" customHeight="1" x14ac:dyDescent="0.15">
      <c r="A55" s="92"/>
      <c r="B55" s="93"/>
      <c r="C55" s="94" t="s">
        <v>40</v>
      </c>
      <c r="D55" s="95"/>
      <c r="E55" s="96">
        <f>SUM(E56:E58)</f>
        <v>132000</v>
      </c>
      <c r="F55" s="96">
        <f>SUM(F56:F58)</f>
        <v>132000</v>
      </c>
      <c r="G55" s="96">
        <f t="shared" ref="G55:M55" si="24">SUM(G56:G58)</f>
        <v>3038.4</v>
      </c>
      <c r="H55" s="96">
        <f t="shared" si="24"/>
        <v>0</v>
      </c>
      <c r="I55" s="96">
        <f t="shared" si="24"/>
        <v>0</v>
      </c>
      <c r="J55" s="96">
        <f t="shared" si="24"/>
        <v>0</v>
      </c>
      <c r="K55" s="96">
        <f t="shared" si="24"/>
        <v>852</v>
      </c>
      <c r="L55" s="96">
        <f t="shared" si="24"/>
        <v>2186.4</v>
      </c>
      <c r="M55" s="96">
        <f t="shared" si="24"/>
        <v>0</v>
      </c>
      <c r="N55" s="116">
        <f t="shared" ref="N55:N60" si="25">ROUND(G55/F55*100,1)</f>
        <v>2.2999999999999998</v>
      </c>
    </row>
    <row r="56" spans="1:15" s="21" customFormat="1" ht="15" customHeight="1" x14ac:dyDescent="0.15">
      <c r="A56" s="59" t="s">
        <v>20</v>
      </c>
      <c r="B56" s="60" t="s">
        <v>22</v>
      </c>
      <c r="C56" s="117" t="s">
        <v>106</v>
      </c>
      <c r="D56" s="114" t="s">
        <v>7</v>
      </c>
      <c r="E56" s="102">
        <v>50000</v>
      </c>
      <c r="F56" s="102">
        <v>50000</v>
      </c>
      <c r="G56" s="6">
        <f>SUM(H56:M56)</f>
        <v>852</v>
      </c>
      <c r="H56" s="102"/>
      <c r="I56" s="102"/>
      <c r="J56" s="102"/>
      <c r="K56" s="102">
        <v>852</v>
      </c>
      <c r="L56" s="102"/>
      <c r="M56" s="102"/>
      <c r="N56" s="6">
        <f t="shared" si="25"/>
        <v>1.7</v>
      </c>
    </row>
    <row r="57" spans="1:15" ht="15" customHeight="1" x14ac:dyDescent="0.15">
      <c r="A57" s="68" t="s">
        <v>25</v>
      </c>
      <c r="B57" s="60" t="s">
        <v>22</v>
      </c>
      <c r="C57" s="66" t="s">
        <v>107</v>
      </c>
      <c r="D57" s="114" t="s">
        <v>7</v>
      </c>
      <c r="E57" s="102">
        <v>41000</v>
      </c>
      <c r="F57" s="102">
        <v>41000</v>
      </c>
      <c r="G57" s="6">
        <f>SUM(H57:M57)</f>
        <v>2186.4</v>
      </c>
      <c r="H57" s="66"/>
      <c r="I57" s="66"/>
      <c r="J57" s="66"/>
      <c r="K57" s="66"/>
      <c r="L57" s="66">
        <v>2186.4</v>
      </c>
      <c r="M57" s="66"/>
      <c r="N57" s="6">
        <f t="shared" si="25"/>
        <v>5.3</v>
      </c>
    </row>
    <row r="58" spans="1:15" ht="15" customHeight="1" x14ac:dyDescent="0.15">
      <c r="A58" s="68" t="s">
        <v>25</v>
      </c>
      <c r="B58" s="60" t="s">
        <v>22</v>
      </c>
      <c r="C58" s="118" t="s">
        <v>107</v>
      </c>
      <c r="D58" s="29" t="s">
        <v>9</v>
      </c>
      <c r="E58" s="31">
        <v>41000</v>
      </c>
      <c r="F58" s="31">
        <v>41000</v>
      </c>
      <c r="G58" s="6">
        <f>SUM(H58:M58)</f>
        <v>0</v>
      </c>
      <c r="H58" s="66"/>
      <c r="I58" s="66"/>
      <c r="J58" s="66"/>
      <c r="K58" s="66"/>
      <c r="L58" s="66"/>
      <c r="M58" s="66"/>
      <c r="N58" s="6">
        <f t="shared" si="25"/>
        <v>0</v>
      </c>
    </row>
    <row r="59" spans="1:15" ht="15" customHeight="1" x14ac:dyDescent="0.15">
      <c r="A59" s="14" t="s">
        <v>4</v>
      </c>
      <c r="B59" s="89"/>
      <c r="C59" s="73" t="s">
        <v>41</v>
      </c>
      <c r="D59" s="74"/>
      <c r="E59" s="76">
        <f>SUM(E60:E66)</f>
        <v>1798171</v>
      </c>
      <c r="F59" s="76">
        <f>SUM(F60:F66)</f>
        <v>2959271</v>
      </c>
      <c r="G59" s="76">
        <f t="shared" ref="G59:M59" si="26">SUM(G60:G66)</f>
        <v>2669702.71</v>
      </c>
      <c r="H59" s="76">
        <f t="shared" si="26"/>
        <v>11889</v>
      </c>
      <c r="I59" s="76">
        <f t="shared" si="26"/>
        <v>650</v>
      </c>
      <c r="J59" s="76">
        <f t="shared" si="26"/>
        <v>650</v>
      </c>
      <c r="K59" s="76">
        <f t="shared" si="26"/>
        <v>57150</v>
      </c>
      <c r="L59" s="76">
        <f t="shared" si="26"/>
        <v>48227.85</v>
      </c>
      <c r="M59" s="76">
        <f t="shared" si="26"/>
        <v>2551135.8600000003</v>
      </c>
      <c r="N59" s="76">
        <f t="shared" si="25"/>
        <v>90.2</v>
      </c>
      <c r="O59" s="66"/>
    </row>
    <row r="60" spans="1:15" s="21" customFormat="1" ht="15" customHeight="1" x14ac:dyDescent="0.15">
      <c r="A60" s="59" t="s">
        <v>20</v>
      </c>
      <c r="B60" s="60" t="s">
        <v>22</v>
      </c>
      <c r="C60" s="61" t="s">
        <v>108</v>
      </c>
      <c r="D60" s="34" t="s">
        <v>7</v>
      </c>
      <c r="E60" s="6">
        <v>260000</v>
      </c>
      <c r="F60" s="6">
        <f>260000+736100</f>
        <v>996100</v>
      </c>
      <c r="G60" s="6">
        <f t="shared" ref="G60:G65" si="27">SUM(H60:M60)</f>
        <v>1206234.26</v>
      </c>
      <c r="H60" s="6">
        <v>11889</v>
      </c>
      <c r="I60" s="6">
        <v>650</v>
      </c>
      <c r="J60" s="6">
        <v>650</v>
      </c>
      <c r="K60" s="6">
        <v>57150</v>
      </c>
      <c r="L60" s="6">
        <v>47947.85</v>
      </c>
      <c r="M60" s="6">
        <v>1087947.4099999999</v>
      </c>
      <c r="N60" s="6">
        <f t="shared" si="25"/>
        <v>121.1</v>
      </c>
      <c r="O60" s="66"/>
    </row>
    <row r="61" spans="1:15" s="21" customFormat="1" ht="15" customHeight="1" x14ac:dyDescent="0.15">
      <c r="A61" s="59" t="s">
        <v>20</v>
      </c>
      <c r="B61" s="60" t="s">
        <v>22</v>
      </c>
      <c r="C61" s="61" t="s">
        <v>209</v>
      </c>
      <c r="D61" s="34" t="s">
        <v>7</v>
      </c>
      <c r="E61" s="6"/>
      <c r="F61" s="6">
        <v>300000</v>
      </c>
      <c r="G61" s="6">
        <f t="shared" si="27"/>
        <v>0</v>
      </c>
      <c r="H61" s="6"/>
      <c r="I61" s="6"/>
      <c r="J61" s="6"/>
      <c r="K61" s="6"/>
      <c r="L61" s="6"/>
      <c r="M61" s="6"/>
      <c r="N61" s="6"/>
      <c r="O61" s="66"/>
    </row>
    <row r="62" spans="1:15" s="21" customFormat="1" ht="15" customHeight="1" x14ac:dyDescent="0.15">
      <c r="A62" s="59" t="s">
        <v>20</v>
      </c>
      <c r="B62" s="60" t="s">
        <v>22</v>
      </c>
      <c r="C62" s="61" t="s">
        <v>210</v>
      </c>
      <c r="D62" s="34" t="s">
        <v>7</v>
      </c>
      <c r="E62" s="6"/>
      <c r="F62" s="6">
        <v>32000</v>
      </c>
      <c r="G62" s="6">
        <f t="shared" si="27"/>
        <v>0</v>
      </c>
      <c r="H62" s="6"/>
      <c r="I62" s="6"/>
      <c r="J62" s="6"/>
      <c r="K62" s="6"/>
      <c r="L62" s="6"/>
      <c r="M62" s="6"/>
      <c r="N62" s="6"/>
      <c r="O62" s="66"/>
    </row>
    <row r="63" spans="1:15" s="21" customFormat="1" ht="15" customHeight="1" x14ac:dyDescent="0.15">
      <c r="A63" s="59" t="s">
        <v>20</v>
      </c>
      <c r="B63" s="60" t="s">
        <v>22</v>
      </c>
      <c r="C63" s="233" t="s">
        <v>210</v>
      </c>
      <c r="D63" s="204" t="s">
        <v>9</v>
      </c>
      <c r="E63" s="205"/>
      <c r="F63" s="205">
        <v>93000</v>
      </c>
      <c r="G63" s="205">
        <f t="shared" si="27"/>
        <v>0</v>
      </c>
      <c r="H63" s="205"/>
      <c r="I63" s="205"/>
      <c r="J63" s="205"/>
      <c r="K63" s="205"/>
      <c r="L63" s="205"/>
      <c r="M63" s="205"/>
      <c r="N63" s="205"/>
      <c r="O63" s="66"/>
    </row>
    <row r="64" spans="1:15" s="21" customFormat="1" ht="15" customHeight="1" x14ac:dyDescent="0.15">
      <c r="A64" s="59" t="s">
        <v>20</v>
      </c>
      <c r="B64" s="60" t="s">
        <v>22</v>
      </c>
      <c r="C64" s="118" t="s">
        <v>108</v>
      </c>
      <c r="D64" s="29" t="s">
        <v>9</v>
      </c>
      <c r="E64" s="31">
        <v>1463171</v>
      </c>
      <c r="F64" s="31">
        <v>1463171</v>
      </c>
      <c r="G64" s="205">
        <f t="shared" si="27"/>
        <v>1463171</v>
      </c>
      <c r="H64" s="6"/>
      <c r="I64" s="6"/>
      <c r="J64" s="6"/>
      <c r="K64" s="6"/>
      <c r="L64" s="205"/>
      <c r="M64" s="205">
        <v>1463171</v>
      </c>
      <c r="N64" s="205">
        <f>ROUND(G64/F64*100,1)</f>
        <v>100</v>
      </c>
      <c r="O64" s="66"/>
    </row>
    <row r="65" spans="1:15" s="21" customFormat="1" ht="20.25" customHeight="1" x14ac:dyDescent="0.15">
      <c r="A65" s="59" t="s">
        <v>20</v>
      </c>
      <c r="B65" s="60" t="s">
        <v>22</v>
      </c>
      <c r="C65" s="80" t="s">
        <v>211</v>
      </c>
      <c r="D65" s="34" t="s">
        <v>7</v>
      </c>
      <c r="E65" s="6">
        <v>75000</v>
      </c>
      <c r="F65" s="6">
        <v>75000</v>
      </c>
      <c r="G65" s="6">
        <f t="shared" si="27"/>
        <v>297.45</v>
      </c>
      <c r="H65" s="6"/>
      <c r="I65" s="6"/>
      <c r="J65" s="6"/>
      <c r="K65" s="6"/>
      <c r="L65" s="6">
        <v>280</v>
      </c>
      <c r="M65" s="6">
        <v>17.45</v>
      </c>
      <c r="N65" s="6">
        <f>ROUND(G65/F65*100,1)</f>
        <v>0.4</v>
      </c>
      <c r="O65" s="79"/>
    </row>
    <row r="66" spans="1:15" ht="15" customHeight="1" x14ac:dyDescent="0.15">
      <c r="A66" s="68" t="s">
        <v>25</v>
      </c>
      <c r="B66" s="69"/>
      <c r="C66" s="66"/>
      <c r="D66" s="70"/>
      <c r="E66" s="66"/>
      <c r="F66" s="66"/>
      <c r="G66" s="6"/>
      <c r="H66" s="66"/>
      <c r="I66" s="66"/>
      <c r="J66" s="66"/>
      <c r="K66" s="66"/>
      <c r="L66" s="66"/>
      <c r="M66" s="66"/>
      <c r="N66" s="6"/>
    </row>
    <row r="67" spans="1:15" ht="15" customHeight="1" x14ac:dyDescent="0.15">
      <c r="A67" s="14" t="s">
        <v>4</v>
      </c>
      <c r="B67" s="89"/>
      <c r="C67" s="194" t="s">
        <v>109</v>
      </c>
      <c r="D67" s="74"/>
      <c r="E67" s="196">
        <f>SUM(E68)</f>
        <v>41000</v>
      </c>
      <c r="F67" s="196">
        <f>SUM(F68)</f>
        <v>41000</v>
      </c>
      <c r="G67" s="196">
        <f t="shared" ref="G67:M67" si="28">SUM(G68)</f>
        <v>22086.47</v>
      </c>
      <c r="H67" s="196">
        <f t="shared" si="28"/>
        <v>0</v>
      </c>
      <c r="I67" s="196">
        <f t="shared" si="28"/>
        <v>0</v>
      </c>
      <c r="J67" s="196">
        <f t="shared" si="28"/>
        <v>0</v>
      </c>
      <c r="K67" s="196">
        <f t="shared" si="28"/>
        <v>0</v>
      </c>
      <c r="L67" s="196">
        <f t="shared" si="28"/>
        <v>0</v>
      </c>
      <c r="M67" s="196">
        <f t="shared" si="28"/>
        <v>22086.47</v>
      </c>
      <c r="N67" s="239">
        <f>ROUND(G67/F67*100,1)</f>
        <v>53.9</v>
      </c>
      <c r="O67" s="66"/>
    </row>
    <row r="68" spans="1:15" s="21" customFormat="1" ht="15" customHeight="1" x14ac:dyDescent="0.15">
      <c r="A68" s="59" t="s">
        <v>20</v>
      </c>
      <c r="B68" s="60" t="s">
        <v>22</v>
      </c>
      <c r="C68" s="61" t="s">
        <v>110</v>
      </c>
      <c r="D68" s="34" t="s">
        <v>7</v>
      </c>
      <c r="E68" s="139">
        <v>41000</v>
      </c>
      <c r="F68" s="139">
        <v>41000</v>
      </c>
      <c r="G68" s="6">
        <f>SUM(H68:M68)</f>
        <v>22086.47</v>
      </c>
      <c r="H68" s="6"/>
      <c r="I68" s="6"/>
      <c r="J68" s="6"/>
      <c r="K68" s="6"/>
      <c r="L68" s="6"/>
      <c r="M68" s="6">
        <v>22086.47</v>
      </c>
      <c r="N68" s="6">
        <f>ROUND(G68/F68*100,1)</f>
        <v>53.9</v>
      </c>
      <c r="O68" s="65"/>
    </row>
    <row r="69" spans="1:15" ht="15" customHeight="1" x14ac:dyDescent="0.15">
      <c r="A69" s="68" t="s">
        <v>25</v>
      </c>
      <c r="B69" s="69"/>
      <c r="C69" s="66"/>
      <c r="D69" s="70"/>
      <c r="E69" s="195"/>
      <c r="F69" s="195"/>
      <c r="G69" s="6">
        <f>SUM(H69:M69)</f>
        <v>0</v>
      </c>
      <c r="H69" s="66"/>
      <c r="I69" s="66"/>
      <c r="J69" s="66"/>
      <c r="K69" s="66"/>
      <c r="L69" s="66"/>
      <c r="M69" s="66"/>
      <c r="N69" s="6"/>
    </row>
    <row r="70" spans="1:15" ht="15" customHeight="1" x14ac:dyDescent="0.15">
      <c r="A70" s="14" t="s">
        <v>4</v>
      </c>
      <c r="B70" s="89"/>
      <c r="C70" s="73" t="s">
        <v>42</v>
      </c>
      <c r="D70" s="74"/>
      <c r="E70" s="76">
        <f t="shared" ref="E70:M70" si="29">SUM(E71:E74)</f>
        <v>155825</v>
      </c>
      <c r="F70" s="76">
        <f t="shared" si="29"/>
        <v>155825</v>
      </c>
      <c r="G70" s="76">
        <f t="shared" si="29"/>
        <v>0</v>
      </c>
      <c r="H70" s="76">
        <f t="shared" si="29"/>
        <v>0</v>
      </c>
      <c r="I70" s="76">
        <f t="shared" si="29"/>
        <v>0</v>
      </c>
      <c r="J70" s="76">
        <f t="shared" si="29"/>
        <v>0</v>
      </c>
      <c r="K70" s="76">
        <f t="shared" si="29"/>
        <v>0</v>
      </c>
      <c r="L70" s="76">
        <f t="shared" si="29"/>
        <v>0</v>
      </c>
      <c r="M70" s="76">
        <f t="shared" si="29"/>
        <v>0</v>
      </c>
      <c r="N70" s="76">
        <f>ROUND(G70/F70*100,1)</f>
        <v>0</v>
      </c>
      <c r="O70" s="66"/>
    </row>
    <row r="71" spans="1:15" s="21" customFormat="1" ht="15" customHeight="1" x14ac:dyDescent="0.15">
      <c r="A71" s="59" t="s">
        <v>20</v>
      </c>
      <c r="B71" s="60" t="s">
        <v>43</v>
      </c>
      <c r="C71" s="61" t="s">
        <v>111</v>
      </c>
      <c r="D71" s="34" t="s">
        <v>11</v>
      </c>
      <c r="E71" s="139">
        <v>85000</v>
      </c>
      <c r="F71" s="139">
        <v>85000</v>
      </c>
      <c r="G71" s="6">
        <f>SUM(H71:M71)</f>
        <v>0</v>
      </c>
      <c r="H71" s="6"/>
      <c r="I71" s="6"/>
      <c r="J71" s="6"/>
      <c r="K71" s="6"/>
      <c r="L71" s="6"/>
      <c r="M71" s="6"/>
      <c r="N71" s="6">
        <f>ROUND(G71/F71*100,1)</f>
        <v>0</v>
      </c>
      <c r="O71" s="65"/>
    </row>
    <row r="72" spans="1:15" s="21" customFormat="1" ht="15" customHeight="1" x14ac:dyDescent="0.15">
      <c r="A72" s="59" t="s">
        <v>20</v>
      </c>
      <c r="B72" s="60" t="s">
        <v>43</v>
      </c>
      <c r="C72" s="80" t="s">
        <v>112</v>
      </c>
      <c r="D72" s="34" t="s">
        <v>11</v>
      </c>
      <c r="E72" s="139">
        <v>60000</v>
      </c>
      <c r="F72" s="139">
        <v>60000</v>
      </c>
      <c r="G72" s="6">
        <f>SUM(H72:M72)</f>
        <v>0</v>
      </c>
      <c r="H72" s="6"/>
      <c r="I72" s="6"/>
      <c r="J72" s="6"/>
      <c r="K72" s="6"/>
      <c r="L72" s="6"/>
      <c r="M72" s="6"/>
      <c r="N72" s="6">
        <f>ROUND(G72/F72*100,1)</f>
        <v>0</v>
      </c>
      <c r="O72" s="64"/>
    </row>
    <row r="73" spans="1:15" s="21" customFormat="1" ht="24" customHeight="1" x14ac:dyDescent="0.15">
      <c r="A73" s="59" t="s">
        <v>20</v>
      </c>
      <c r="B73" s="60" t="s">
        <v>43</v>
      </c>
      <c r="C73" s="200" t="s">
        <v>113</v>
      </c>
      <c r="D73" s="34" t="s">
        <v>11</v>
      </c>
      <c r="E73" s="201">
        <v>10825</v>
      </c>
      <c r="F73" s="201">
        <v>10825</v>
      </c>
      <c r="G73" s="6">
        <f>SUM(H73:M73)</f>
        <v>0</v>
      </c>
      <c r="H73" s="202"/>
      <c r="I73" s="202"/>
      <c r="J73" s="202"/>
      <c r="K73" s="202"/>
      <c r="L73" s="202"/>
      <c r="M73" s="202"/>
      <c r="N73" s="6">
        <f>ROUND(G73/F73*100,1)</f>
        <v>0</v>
      </c>
      <c r="O73" s="64"/>
    </row>
    <row r="74" spans="1:15" ht="15" customHeight="1" x14ac:dyDescent="0.15">
      <c r="A74" s="81" t="s">
        <v>25</v>
      </c>
      <c r="B74" s="120"/>
      <c r="C74" s="121"/>
      <c r="D74" s="134"/>
      <c r="E74" s="121"/>
      <c r="F74" s="121"/>
      <c r="G74" s="121"/>
      <c r="H74" s="121"/>
      <c r="I74" s="121"/>
      <c r="J74" s="121"/>
      <c r="K74" s="121"/>
      <c r="L74" s="121"/>
      <c r="M74" s="121"/>
      <c r="N74" s="122"/>
    </row>
    <row r="75" spans="1:15" ht="15" customHeight="1" x14ac:dyDescent="0.15">
      <c r="A75" s="14" t="s">
        <v>4</v>
      </c>
      <c r="B75" s="89"/>
      <c r="C75" s="73" t="s">
        <v>44</v>
      </c>
      <c r="D75" s="90"/>
      <c r="E75" s="196">
        <f>SUM(E76:E83)</f>
        <v>3307500</v>
      </c>
      <c r="F75" s="196">
        <f>SUM(F76:F83)</f>
        <v>3532750</v>
      </c>
      <c r="G75" s="196">
        <f t="shared" ref="G75:M75" si="30">SUM(G76:G83)</f>
        <v>1582218.02</v>
      </c>
      <c r="H75" s="196">
        <f t="shared" si="30"/>
        <v>157583.6</v>
      </c>
      <c r="I75" s="196">
        <f t="shared" si="30"/>
        <v>69033.600000000006</v>
      </c>
      <c r="J75" s="196">
        <f t="shared" si="30"/>
        <v>154924.65</v>
      </c>
      <c r="K75" s="196">
        <f t="shared" si="30"/>
        <v>428924.5</v>
      </c>
      <c r="L75" s="196">
        <f t="shared" si="30"/>
        <v>22303</v>
      </c>
      <c r="M75" s="196">
        <f t="shared" si="30"/>
        <v>648186.89</v>
      </c>
      <c r="N75" s="76">
        <f>ROUND(G75/F75*100,1)</f>
        <v>44.8</v>
      </c>
      <c r="O75" s="66"/>
    </row>
    <row r="76" spans="1:15" s="21" customFormat="1" ht="24" customHeight="1" x14ac:dyDescent="0.15">
      <c r="A76" s="59" t="s">
        <v>20</v>
      </c>
      <c r="B76" s="60" t="s">
        <v>21</v>
      </c>
      <c r="C76" s="119" t="s">
        <v>45</v>
      </c>
      <c r="D76" s="29" t="s">
        <v>12</v>
      </c>
      <c r="E76" s="144">
        <v>2500000</v>
      </c>
      <c r="F76" s="144">
        <v>2500000</v>
      </c>
      <c r="G76" s="31">
        <v>1314480.42</v>
      </c>
      <c r="H76" s="31">
        <v>156047.6</v>
      </c>
      <c r="I76" s="31">
        <v>69033.600000000006</v>
      </c>
      <c r="J76" s="31">
        <v>100807.05</v>
      </c>
      <c r="K76" s="31">
        <v>417834.5</v>
      </c>
      <c r="L76" s="31"/>
      <c r="M76" s="31">
        <v>469495.89</v>
      </c>
      <c r="N76" s="31">
        <f>ROUND(G76/F76*100,1)</f>
        <v>52.6</v>
      </c>
      <c r="O76" s="243" t="s">
        <v>205</v>
      </c>
    </row>
    <row r="77" spans="1:15" s="21" customFormat="1" ht="23.25" customHeight="1" x14ac:dyDescent="0.15">
      <c r="A77" s="59" t="s">
        <v>20</v>
      </c>
      <c r="B77" s="60" t="s">
        <v>21</v>
      </c>
      <c r="C77" s="119" t="s">
        <v>46</v>
      </c>
      <c r="D77" s="29" t="s">
        <v>9</v>
      </c>
      <c r="E77" s="31">
        <v>659500</v>
      </c>
      <c r="F77" s="31">
        <v>659500</v>
      </c>
      <c r="G77" s="31">
        <f t="shared" ref="G77:G82" si="31">SUM(H77:M77)</f>
        <v>155069</v>
      </c>
      <c r="H77" s="31"/>
      <c r="I77" s="31"/>
      <c r="J77" s="31"/>
      <c r="K77" s="31"/>
      <c r="L77" s="31"/>
      <c r="M77" s="31">
        <v>155069</v>
      </c>
      <c r="N77" s="31">
        <f>ROUND(G77/F77*100,1)</f>
        <v>23.5</v>
      </c>
      <c r="O77" s="65"/>
    </row>
    <row r="78" spans="1:15" s="21" customFormat="1" ht="26.25" customHeight="1" x14ac:dyDescent="0.15">
      <c r="A78" s="59" t="s">
        <v>20</v>
      </c>
      <c r="B78" s="60" t="s">
        <v>23</v>
      </c>
      <c r="C78" s="246" t="s">
        <v>212</v>
      </c>
      <c r="D78" s="183" t="s">
        <v>7</v>
      </c>
      <c r="E78" s="133"/>
      <c r="F78" s="133">
        <v>130000</v>
      </c>
      <c r="G78" s="102">
        <f t="shared" si="31"/>
        <v>0</v>
      </c>
      <c r="H78" s="133"/>
      <c r="I78" s="133"/>
      <c r="J78" s="133"/>
      <c r="K78" s="133"/>
      <c r="L78" s="133"/>
      <c r="M78" s="133"/>
      <c r="N78" s="133"/>
      <c r="O78" s="65"/>
    </row>
    <row r="79" spans="1:15" s="21" customFormat="1" ht="15" customHeight="1" x14ac:dyDescent="0.15">
      <c r="A79" s="59" t="s">
        <v>20</v>
      </c>
      <c r="B79" s="60" t="s">
        <v>23</v>
      </c>
      <c r="C79" s="67" t="s">
        <v>47</v>
      </c>
      <c r="D79" s="34" t="s">
        <v>7</v>
      </c>
      <c r="E79" s="6">
        <v>75000</v>
      </c>
      <c r="F79" s="6">
        <f>75000+40000</f>
        <v>115000</v>
      </c>
      <c r="G79" s="6">
        <f t="shared" si="31"/>
        <v>12520</v>
      </c>
      <c r="H79" s="6"/>
      <c r="I79" s="6"/>
      <c r="J79" s="6"/>
      <c r="K79" s="6"/>
      <c r="L79" s="6">
        <v>12520</v>
      </c>
      <c r="M79" s="6"/>
      <c r="N79" s="6">
        <f>ROUND(G79/F79*100,1)</f>
        <v>10.9</v>
      </c>
      <c r="O79" s="65"/>
    </row>
    <row r="80" spans="1:15" s="21" customFormat="1" ht="15" customHeight="1" x14ac:dyDescent="0.15">
      <c r="A80" s="59" t="s">
        <v>20</v>
      </c>
      <c r="B80" s="60" t="s">
        <v>23</v>
      </c>
      <c r="C80" s="67" t="s">
        <v>49</v>
      </c>
      <c r="D80" s="34" t="s">
        <v>7</v>
      </c>
      <c r="E80" s="6">
        <v>50000</v>
      </c>
      <c r="F80" s="6">
        <f>50000+23750</f>
        <v>73750</v>
      </c>
      <c r="G80" s="6">
        <f t="shared" si="31"/>
        <v>68937.600000000006</v>
      </c>
      <c r="H80" s="6">
        <v>1536</v>
      </c>
      <c r="I80" s="6">
        <v>0</v>
      </c>
      <c r="J80" s="6">
        <v>54117.599999999999</v>
      </c>
      <c r="K80" s="6">
        <v>11090</v>
      </c>
      <c r="L80" s="6">
        <v>2194</v>
      </c>
      <c r="M80" s="6"/>
      <c r="N80" s="6">
        <f>ROUND(G80/F80*100,1)</f>
        <v>93.5</v>
      </c>
      <c r="O80" s="65"/>
    </row>
    <row r="81" spans="1:15" s="21" customFormat="1" ht="15" customHeight="1" x14ac:dyDescent="0.15">
      <c r="A81" s="59" t="s">
        <v>20</v>
      </c>
      <c r="B81" s="60" t="s">
        <v>23</v>
      </c>
      <c r="C81" s="67" t="s">
        <v>213</v>
      </c>
      <c r="D81" s="34" t="s">
        <v>7</v>
      </c>
      <c r="E81" s="6"/>
      <c r="F81" s="6">
        <v>25000</v>
      </c>
      <c r="G81" s="6">
        <f t="shared" si="31"/>
        <v>7589</v>
      </c>
      <c r="H81" s="6"/>
      <c r="I81" s="6"/>
      <c r="J81" s="6"/>
      <c r="K81" s="6"/>
      <c r="L81" s="6">
        <v>7589</v>
      </c>
      <c r="M81" s="6"/>
      <c r="N81" s="6"/>
      <c r="O81" s="65"/>
    </row>
    <row r="82" spans="1:15" s="21" customFormat="1" ht="15" customHeight="1" x14ac:dyDescent="0.15">
      <c r="A82" s="59" t="s">
        <v>20</v>
      </c>
      <c r="B82" s="60" t="s">
        <v>23</v>
      </c>
      <c r="C82" s="67" t="s">
        <v>48</v>
      </c>
      <c r="D82" s="34" t="s">
        <v>7</v>
      </c>
      <c r="E82" s="6">
        <v>23000</v>
      </c>
      <c r="F82" s="6">
        <f>23000+6500</f>
        <v>29500</v>
      </c>
      <c r="G82" s="6">
        <f t="shared" si="31"/>
        <v>23622</v>
      </c>
      <c r="H82" s="6"/>
      <c r="I82" s="6"/>
      <c r="J82" s="6"/>
      <c r="K82" s="6"/>
      <c r="L82" s="6"/>
      <c r="M82" s="6">
        <v>23622</v>
      </c>
      <c r="N82" s="6">
        <f>ROUND(G82/F82*100,1)</f>
        <v>80.099999999999994</v>
      </c>
      <c r="O82" s="65"/>
    </row>
    <row r="83" spans="1:15" ht="15" customHeight="1" x14ac:dyDescent="0.15">
      <c r="A83" s="81" t="s">
        <v>25</v>
      </c>
      <c r="B83" s="120"/>
      <c r="C83" s="121"/>
      <c r="D83" s="134"/>
      <c r="E83" s="121"/>
      <c r="F83" s="121"/>
      <c r="G83" s="232"/>
      <c r="H83" s="121"/>
      <c r="I83" s="121"/>
      <c r="J83" s="121"/>
      <c r="K83" s="121"/>
      <c r="L83" s="121"/>
      <c r="M83" s="121"/>
      <c r="N83" s="122"/>
    </row>
    <row r="84" spans="1:15" s="51" customFormat="1" ht="17.25" customHeight="1" x14ac:dyDescent="0.25">
      <c r="A84" s="43" t="s">
        <v>16</v>
      </c>
      <c r="B84" s="44"/>
      <c r="C84" s="123" t="s">
        <v>50</v>
      </c>
      <c r="D84" s="124"/>
      <c r="E84" s="48">
        <f>SUM(E85,E88)</f>
        <v>145000</v>
      </c>
      <c r="F84" s="48">
        <f>SUM(F85,F88)</f>
        <v>145000</v>
      </c>
      <c r="G84" s="48">
        <f t="shared" ref="G84:M84" si="32">SUM(G85,G88)</f>
        <v>20013.120000000003</v>
      </c>
      <c r="H84" s="48">
        <f t="shared" si="32"/>
        <v>0</v>
      </c>
      <c r="I84" s="48">
        <f t="shared" si="32"/>
        <v>0</v>
      </c>
      <c r="J84" s="48">
        <f t="shared" si="32"/>
        <v>1440</v>
      </c>
      <c r="K84" s="48">
        <f t="shared" si="32"/>
        <v>0</v>
      </c>
      <c r="L84" s="48">
        <f t="shared" si="32"/>
        <v>17094.72</v>
      </c>
      <c r="M84" s="48">
        <f t="shared" si="32"/>
        <v>1478.4</v>
      </c>
      <c r="N84" s="49">
        <f>ROUND(G84/F84*100,1)</f>
        <v>13.8</v>
      </c>
    </row>
    <row r="85" spans="1:15" ht="15" customHeight="1" x14ac:dyDescent="0.15">
      <c r="A85" s="14" t="s">
        <v>4</v>
      </c>
      <c r="B85" s="125"/>
      <c r="C85" s="126" t="s">
        <v>52</v>
      </c>
      <c r="D85" s="127"/>
      <c r="E85" s="55">
        <f t="shared" ref="E85:F85" si="33">SUM(E86:E87)</f>
        <v>15000</v>
      </c>
      <c r="F85" s="55">
        <f t="shared" si="33"/>
        <v>15000</v>
      </c>
      <c r="G85" s="55">
        <f t="shared" ref="G85:L85" si="34">SUM(G86:G87)</f>
        <v>0</v>
      </c>
      <c r="H85" s="55">
        <f t="shared" si="34"/>
        <v>0</v>
      </c>
      <c r="I85" s="55">
        <f t="shared" si="34"/>
        <v>0</v>
      </c>
      <c r="J85" s="55">
        <f t="shared" si="34"/>
        <v>0</v>
      </c>
      <c r="K85" s="55">
        <f t="shared" si="34"/>
        <v>0</v>
      </c>
      <c r="L85" s="55">
        <f t="shared" si="34"/>
        <v>0</v>
      </c>
      <c r="M85" s="55"/>
      <c r="N85" s="55">
        <f>ROUND(G85/F85*100,1)</f>
        <v>0</v>
      </c>
      <c r="O85" s="66"/>
    </row>
    <row r="86" spans="1:15" s="21" customFormat="1" ht="15" customHeight="1" x14ac:dyDescent="0.15">
      <c r="A86" s="59" t="s">
        <v>20</v>
      </c>
      <c r="B86" s="60" t="s">
        <v>22</v>
      </c>
      <c r="C86" s="78" t="s">
        <v>53</v>
      </c>
      <c r="D86" s="128" t="s">
        <v>11</v>
      </c>
      <c r="E86" s="139">
        <v>15000</v>
      </c>
      <c r="F86" s="139">
        <v>15000</v>
      </c>
      <c r="G86" s="6">
        <f>SUM(H86:M86)</f>
        <v>0</v>
      </c>
      <c r="H86" s="6"/>
      <c r="I86" s="6"/>
      <c r="J86" s="6"/>
      <c r="K86" s="6"/>
      <c r="L86" s="6"/>
      <c r="M86" s="6"/>
      <c r="N86" s="6">
        <f>ROUND(G86/F86*100,1)</f>
        <v>0</v>
      </c>
      <c r="O86" s="65"/>
    </row>
    <row r="87" spans="1:15" ht="15" customHeight="1" x14ac:dyDescent="0.15">
      <c r="A87" s="81" t="s">
        <v>25</v>
      </c>
      <c r="B87" s="120"/>
      <c r="C87" s="121"/>
      <c r="D87" s="134"/>
      <c r="E87" s="121"/>
      <c r="F87" s="121"/>
      <c r="G87" s="121"/>
      <c r="H87" s="121"/>
      <c r="I87" s="121"/>
      <c r="J87" s="121"/>
      <c r="K87" s="121"/>
      <c r="L87" s="121"/>
      <c r="M87" s="121"/>
      <c r="N87" s="122"/>
    </row>
    <row r="88" spans="1:15" ht="15" customHeight="1" x14ac:dyDescent="0.15">
      <c r="A88" s="14" t="s">
        <v>4</v>
      </c>
      <c r="B88" s="89"/>
      <c r="C88" s="129" t="s">
        <v>54</v>
      </c>
      <c r="D88" s="130"/>
      <c r="E88" s="76">
        <f>SUM(E89:E94)</f>
        <v>130000</v>
      </c>
      <c r="F88" s="76">
        <f>SUM(F89:F94)</f>
        <v>130000</v>
      </c>
      <c r="G88" s="76">
        <f t="shared" ref="G88:M88" si="35">SUM(G89:G94)</f>
        <v>20013.120000000003</v>
      </c>
      <c r="H88" s="76">
        <f t="shared" si="35"/>
        <v>0</v>
      </c>
      <c r="I88" s="76">
        <f t="shared" si="35"/>
        <v>0</v>
      </c>
      <c r="J88" s="76">
        <f t="shared" si="35"/>
        <v>1440</v>
      </c>
      <c r="K88" s="76">
        <f t="shared" si="35"/>
        <v>0</v>
      </c>
      <c r="L88" s="76">
        <f t="shared" si="35"/>
        <v>17094.72</v>
      </c>
      <c r="M88" s="76">
        <f t="shared" si="35"/>
        <v>1478.4</v>
      </c>
      <c r="N88" s="76">
        <f t="shared" ref="N88:N93" si="36">ROUND(G88/F88*100,1)</f>
        <v>15.4</v>
      </c>
      <c r="O88" s="66"/>
    </row>
    <row r="89" spans="1:15" s="21" customFormat="1" ht="15" customHeight="1" x14ac:dyDescent="0.15">
      <c r="A89" s="59" t="s">
        <v>20</v>
      </c>
      <c r="B89" s="60" t="s">
        <v>22</v>
      </c>
      <c r="C89" s="78" t="s">
        <v>114</v>
      </c>
      <c r="D89" s="128" t="s">
        <v>7</v>
      </c>
      <c r="E89" s="6">
        <v>30000</v>
      </c>
      <c r="F89" s="6">
        <v>30000</v>
      </c>
      <c r="G89" s="6">
        <f>SUM(H89:M89)</f>
        <v>0</v>
      </c>
      <c r="H89" s="6"/>
      <c r="I89" s="6"/>
      <c r="J89" s="6"/>
      <c r="K89" s="6"/>
      <c r="L89" s="6"/>
      <c r="M89" s="6"/>
      <c r="N89" s="6">
        <f t="shared" si="36"/>
        <v>0</v>
      </c>
      <c r="O89" s="65"/>
    </row>
    <row r="90" spans="1:15" s="21" customFormat="1" ht="15" customHeight="1" x14ac:dyDescent="0.15">
      <c r="A90" s="59" t="s">
        <v>20</v>
      </c>
      <c r="B90" s="60" t="s">
        <v>22</v>
      </c>
      <c r="C90" s="78" t="s">
        <v>115</v>
      </c>
      <c r="D90" s="128" t="s">
        <v>7</v>
      </c>
      <c r="E90" s="6">
        <v>30000</v>
      </c>
      <c r="F90" s="6">
        <v>30000</v>
      </c>
      <c r="G90" s="6">
        <f>SUM(H90:M90)</f>
        <v>0</v>
      </c>
      <c r="H90" s="6"/>
      <c r="I90" s="6"/>
      <c r="J90" s="6"/>
      <c r="K90" s="6"/>
      <c r="L90" s="6"/>
      <c r="M90" s="6"/>
      <c r="N90" s="6">
        <f t="shared" si="36"/>
        <v>0</v>
      </c>
      <c r="O90" s="65"/>
    </row>
    <row r="91" spans="1:15" s="21" customFormat="1" ht="15" customHeight="1" x14ac:dyDescent="0.15">
      <c r="A91" s="59" t="s">
        <v>20</v>
      </c>
      <c r="B91" s="60" t="s">
        <v>22</v>
      </c>
      <c r="C91" s="131" t="s">
        <v>116</v>
      </c>
      <c r="D91" s="132" t="s">
        <v>7</v>
      </c>
      <c r="E91" s="133">
        <v>30000</v>
      </c>
      <c r="F91" s="133">
        <v>30000</v>
      </c>
      <c r="G91" s="6">
        <f>SUM(H91:M91)</f>
        <v>0</v>
      </c>
      <c r="H91" s="133"/>
      <c r="I91" s="133"/>
      <c r="J91" s="133"/>
      <c r="K91" s="133"/>
      <c r="L91" s="133"/>
      <c r="M91" s="133"/>
      <c r="N91" s="6">
        <f t="shared" si="36"/>
        <v>0</v>
      </c>
      <c r="O91" s="65"/>
    </row>
    <row r="92" spans="1:15" s="21" customFormat="1" ht="15" customHeight="1" x14ac:dyDescent="0.15">
      <c r="A92" s="59" t="s">
        <v>20</v>
      </c>
      <c r="B92" s="60" t="s">
        <v>22</v>
      </c>
      <c r="C92" s="78" t="s">
        <v>117</v>
      </c>
      <c r="D92" s="128" t="s">
        <v>7</v>
      </c>
      <c r="E92" s="6">
        <v>20000</v>
      </c>
      <c r="F92" s="6">
        <v>20000</v>
      </c>
      <c r="G92" s="6">
        <f>SUM(H92:M92)</f>
        <v>18573.120000000003</v>
      </c>
      <c r="H92" s="6"/>
      <c r="I92" s="6"/>
      <c r="J92" s="6"/>
      <c r="K92" s="6"/>
      <c r="L92" s="6">
        <v>17094.72</v>
      </c>
      <c r="M92" s="6">
        <v>1478.4</v>
      </c>
      <c r="N92" s="6">
        <f t="shared" si="36"/>
        <v>92.9</v>
      </c>
      <c r="O92" s="65"/>
    </row>
    <row r="93" spans="1:15" s="21" customFormat="1" ht="15" customHeight="1" x14ac:dyDescent="0.15">
      <c r="A93" s="59" t="s">
        <v>20</v>
      </c>
      <c r="B93" s="60" t="s">
        <v>22</v>
      </c>
      <c r="C93" s="78" t="s">
        <v>118</v>
      </c>
      <c r="D93" s="128" t="s">
        <v>7</v>
      </c>
      <c r="E93" s="6">
        <v>20000</v>
      </c>
      <c r="F93" s="6">
        <v>20000</v>
      </c>
      <c r="G93" s="6">
        <f>SUM(H93:M93)</f>
        <v>1440</v>
      </c>
      <c r="H93" s="6"/>
      <c r="I93" s="6"/>
      <c r="J93" s="6">
        <v>1440</v>
      </c>
      <c r="K93" s="6"/>
      <c r="L93" s="6"/>
      <c r="M93" s="6"/>
      <c r="N93" s="6">
        <f t="shared" si="36"/>
        <v>7.2</v>
      </c>
      <c r="O93" s="65"/>
    </row>
    <row r="94" spans="1:15" ht="15" customHeight="1" x14ac:dyDescent="0.15">
      <c r="A94" s="81" t="s">
        <v>25</v>
      </c>
      <c r="B94" s="120" t="s">
        <v>22</v>
      </c>
      <c r="C94" s="121"/>
      <c r="D94" s="134"/>
      <c r="E94" s="121"/>
      <c r="F94" s="121"/>
      <c r="G94" s="121"/>
      <c r="H94" s="121"/>
      <c r="I94" s="121"/>
      <c r="J94" s="121"/>
      <c r="K94" s="121"/>
      <c r="L94" s="121"/>
      <c r="M94" s="121"/>
      <c r="N94" s="122"/>
    </row>
    <row r="95" spans="1:15" s="51" customFormat="1" ht="17.25" customHeight="1" x14ac:dyDescent="0.25">
      <c r="A95" s="43" t="s">
        <v>16</v>
      </c>
      <c r="B95" s="44"/>
      <c r="C95" s="135" t="s">
        <v>55</v>
      </c>
      <c r="D95" s="124"/>
      <c r="E95" s="48">
        <f>SUM(E96,E107,E122)</f>
        <v>2411140</v>
      </c>
      <c r="F95" s="48">
        <f>SUM(F96,F107,F122)</f>
        <v>2995040</v>
      </c>
      <c r="G95" s="48">
        <f>SUM(G96,G107,G122)</f>
        <v>1515860.9100000001</v>
      </c>
      <c r="H95" s="48">
        <f t="shared" ref="H95:M95" si="37">SUM(H96,H107,H122)</f>
        <v>273525.32</v>
      </c>
      <c r="I95" s="48">
        <f t="shared" si="37"/>
        <v>258943.72</v>
      </c>
      <c r="J95" s="48">
        <f t="shared" si="37"/>
        <v>270696.27999999997</v>
      </c>
      <c r="K95" s="48">
        <f t="shared" si="37"/>
        <v>122601.44</v>
      </c>
      <c r="L95" s="48">
        <f t="shared" si="37"/>
        <v>70766</v>
      </c>
      <c r="M95" s="48">
        <f t="shared" si="37"/>
        <v>85850.86</v>
      </c>
      <c r="N95" s="49">
        <f t="shared" ref="N95:N104" si="38">ROUND(G95/F95*100,1)</f>
        <v>50.6</v>
      </c>
    </row>
    <row r="96" spans="1:15" ht="15" customHeight="1" x14ac:dyDescent="0.15">
      <c r="A96" s="14" t="s">
        <v>4</v>
      </c>
      <c r="B96" s="125"/>
      <c r="C96" s="126" t="s">
        <v>57</v>
      </c>
      <c r="D96" s="136"/>
      <c r="E96" s="55">
        <f>SUM(E97:E105)</f>
        <v>1842000</v>
      </c>
      <c r="F96" s="55">
        <f>SUM(F97:F105)</f>
        <v>2320900</v>
      </c>
      <c r="G96" s="55">
        <f t="shared" ref="G96:M96" si="39">SUM(G97:G105)</f>
        <v>1421892.3800000001</v>
      </c>
      <c r="H96" s="55">
        <f t="shared" si="39"/>
        <v>246317</v>
      </c>
      <c r="I96" s="55">
        <f t="shared" si="39"/>
        <v>242891</v>
      </c>
      <c r="J96" s="55">
        <f t="shared" si="39"/>
        <v>266918.08999999997</v>
      </c>
      <c r="K96" s="55">
        <f t="shared" si="39"/>
        <v>109757</v>
      </c>
      <c r="L96" s="55">
        <f t="shared" si="39"/>
        <v>59366</v>
      </c>
      <c r="M96" s="55">
        <f t="shared" si="39"/>
        <v>63166</v>
      </c>
      <c r="N96" s="55">
        <f t="shared" si="38"/>
        <v>61.3</v>
      </c>
      <c r="O96" s="66"/>
    </row>
    <row r="97" spans="1:15" s="21" customFormat="1" ht="24" customHeight="1" x14ac:dyDescent="0.15">
      <c r="A97" s="59" t="s">
        <v>20</v>
      </c>
      <c r="B97" s="60" t="s">
        <v>23</v>
      </c>
      <c r="C97" s="140" t="s">
        <v>59</v>
      </c>
      <c r="D97" s="137" t="s">
        <v>7</v>
      </c>
      <c r="E97" s="139">
        <v>942000</v>
      </c>
      <c r="F97" s="139">
        <f>942000+225461</f>
        <v>1167461</v>
      </c>
      <c r="G97" s="6">
        <v>1274344</v>
      </c>
      <c r="H97" s="139">
        <v>239042</v>
      </c>
      <c r="I97" s="139">
        <v>236306</v>
      </c>
      <c r="J97" s="139">
        <v>231727</v>
      </c>
      <c r="K97" s="139">
        <v>96741</v>
      </c>
      <c r="L97" s="139">
        <v>34284</v>
      </c>
      <c r="M97" s="139">
        <v>18752</v>
      </c>
      <c r="N97" s="6">
        <f t="shared" si="38"/>
        <v>109.2</v>
      </c>
      <c r="O97" s="65"/>
    </row>
    <row r="98" spans="1:15" s="21" customFormat="1" ht="21" x14ac:dyDescent="0.15">
      <c r="A98" s="59" t="s">
        <v>20</v>
      </c>
      <c r="B98" s="60" t="s">
        <v>23</v>
      </c>
      <c r="C98" s="119" t="s">
        <v>59</v>
      </c>
      <c r="D98" s="29" t="s">
        <v>9</v>
      </c>
      <c r="E98" s="31">
        <v>550000</v>
      </c>
      <c r="F98" s="31">
        <v>550000</v>
      </c>
      <c r="G98" s="205">
        <f>SUM(H98:M98)</f>
        <v>0</v>
      </c>
      <c r="H98" s="31"/>
      <c r="I98" s="31"/>
      <c r="J98" s="31"/>
      <c r="K98" s="31"/>
      <c r="L98" s="31"/>
      <c r="M98" s="31"/>
      <c r="N98" s="205">
        <f t="shared" si="38"/>
        <v>0</v>
      </c>
      <c r="O98" s="65"/>
    </row>
    <row r="99" spans="1:15" s="21" customFormat="1" ht="15" customHeight="1" x14ac:dyDescent="0.15">
      <c r="A99" s="59" t="s">
        <v>20</v>
      </c>
      <c r="B99" s="60" t="s">
        <v>23</v>
      </c>
      <c r="C99" s="77" t="s">
        <v>58</v>
      </c>
      <c r="D99" s="137" t="s">
        <v>7</v>
      </c>
      <c r="E99" s="139">
        <v>150000</v>
      </c>
      <c r="F99" s="139">
        <f>150000+190000</f>
        <v>340000</v>
      </c>
      <c r="G99" s="6">
        <f>SUM(H99:M99)</f>
        <v>52181</v>
      </c>
      <c r="H99" s="139"/>
      <c r="I99" s="139">
        <v>6585</v>
      </c>
      <c r="J99" s="139">
        <v>0</v>
      </c>
      <c r="K99" s="139">
        <v>1182</v>
      </c>
      <c r="L99" s="139"/>
      <c r="M99" s="139">
        <v>44414</v>
      </c>
      <c r="N99" s="6">
        <f t="shared" si="38"/>
        <v>15.3</v>
      </c>
      <c r="O99" s="65"/>
    </row>
    <row r="100" spans="1:15" s="21" customFormat="1" ht="15" customHeight="1" x14ac:dyDescent="0.15">
      <c r="A100" s="59" t="s">
        <v>20</v>
      </c>
      <c r="B100" s="60" t="s">
        <v>23</v>
      </c>
      <c r="C100" s="143" t="s">
        <v>61</v>
      </c>
      <c r="D100" s="137" t="s">
        <v>7</v>
      </c>
      <c r="E100" s="139">
        <v>125000</v>
      </c>
      <c r="F100" s="139">
        <v>125000</v>
      </c>
      <c r="G100" s="6">
        <f>SUM(H100:M100)</f>
        <v>39176.03</v>
      </c>
      <c r="H100" s="139">
        <v>2025</v>
      </c>
      <c r="I100" s="139"/>
      <c r="J100" s="139">
        <v>9221.0300000000007</v>
      </c>
      <c r="K100" s="139">
        <v>7456</v>
      </c>
      <c r="L100" s="139">
        <v>20474</v>
      </c>
      <c r="M100" s="139"/>
      <c r="N100" s="6">
        <f t="shared" si="38"/>
        <v>31.3</v>
      </c>
      <c r="O100" s="65"/>
    </row>
    <row r="101" spans="1:15" s="21" customFormat="1" ht="15" customHeight="1" x14ac:dyDescent="0.15">
      <c r="A101" s="59" t="s">
        <v>20</v>
      </c>
      <c r="B101" s="60" t="s">
        <v>23</v>
      </c>
      <c r="C101" s="143" t="s">
        <v>196</v>
      </c>
      <c r="D101" s="137" t="s">
        <v>7</v>
      </c>
      <c r="E101" s="139"/>
      <c r="F101" s="139">
        <v>37898</v>
      </c>
      <c r="G101" s="6">
        <f>SUM(H101:M101)</f>
        <v>3300.35</v>
      </c>
      <c r="H101" s="139">
        <v>250</v>
      </c>
      <c r="I101" s="139"/>
      <c r="J101" s="139">
        <v>3050.35</v>
      </c>
      <c r="K101" s="139"/>
      <c r="L101" s="139"/>
      <c r="M101" s="139"/>
      <c r="N101" s="6">
        <f t="shared" si="38"/>
        <v>8.6999999999999993</v>
      </c>
      <c r="O101" s="65"/>
    </row>
    <row r="102" spans="1:15" s="21" customFormat="1" ht="15" customHeight="1" x14ac:dyDescent="0.15">
      <c r="A102" s="59" t="s">
        <v>20</v>
      </c>
      <c r="B102" s="210" t="s">
        <v>23</v>
      </c>
      <c r="C102" s="222" t="s">
        <v>196</v>
      </c>
      <c r="D102" s="223" t="s">
        <v>9</v>
      </c>
      <c r="E102" s="224"/>
      <c r="F102" s="224">
        <v>25541</v>
      </c>
      <c r="G102" s="205">
        <v>13544</v>
      </c>
      <c r="H102" s="224">
        <v>5000</v>
      </c>
      <c r="I102" s="224"/>
      <c r="J102" s="224">
        <v>0</v>
      </c>
      <c r="K102" s="224">
        <v>1378</v>
      </c>
      <c r="L102" s="224">
        <v>1608</v>
      </c>
      <c r="M102" s="224"/>
      <c r="N102" s="205">
        <f t="shared" si="38"/>
        <v>53</v>
      </c>
      <c r="O102" s="65"/>
    </row>
    <row r="103" spans="1:15" s="21" customFormat="1" ht="24.75" customHeight="1" x14ac:dyDescent="0.15">
      <c r="A103" s="59" t="s">
        <v>20</v>
      </c>
      <c r="B103" s="112" t="s">
        <v>23</v>
      </c>
      <c r="C103" s="235" t="s">
        <v>60</v>
      </c>
      <c r="D103" s="141" t="s">
        <v>7</v>
      </c>
      <c r="E103" s="142"/>
      <c r="F103" s="142">
        <v>48000</v>
      </c>
      <c r="G103" s="133">
        <v>21347</v>
      </c>
      <c r="H103" s="142"/>
      <c r="I103" s="142"/>
      <c r="J103" s="142">
        <v>10919.71</v>
      </c>
      <c r="K103" s="142"/>
      <c r="L103" s="142"/>
      <c r="M103" s="142"/>
      <c r="N103" s="6">
        <f t="shared" si="38"/>
        <v>44.5</v>
      </c>
      <c r="O103" s="65"/>
    </row>
    <row r="104" spans="1:15" s="21" customFormat="1" ht="24" customHeight="1" x14ac:dyDescent="0.15">
      <c r="A104" s="234" t="s">
        <v>20</v>
      </c>
      <c r="B104" s="228" t="s">
        <v>23</v>
      </c>
      <c r="C104" s="236" t="s">
        <v>60</v>
      </c>
      <c r="D104" s="237" t="s">
        <v>11</v>
      </c>
      <c r="E104" s="224">
        <v>75000</v>
      </c>
      <c r="F104" s="238">
        <v>27000</v>
      </c>
      <c r="G104" s="133">
        <f>SUM(H104:M104)</f>
        <v>18000</v>
      </c>
      <c r="H104" s="224"/>
      <c r="I104" s="142"/>
      <c r="J104" s="238">
        <v>12000</v>
      </c>
      <c r="K104" s="142">
        <v>3000</v>
      </c>
      <c r="L104" s="142">
        <v>3000</v>
      </c>
      <c r="M104" s="142"/>
      <c r="N104" s="6">
        <f t="shared" si="38"/>
        <v>66.7</v>
      </c>
      <c r="O104" s="65"/>
    </row>
    <row r="105" spans="1:15" ht="15" customHeight="1" x14ac:dyDescent="0.15">
      <c r="A105" s="68" t="s">
        <v>25</v>
      </c>
      <c r="B105" s="104"/>
      <c r="C105" s="105"/>
      <c r="D105" s="106"/>
      <c r="E105" s="105"/>
      <c r="F105" s="105"/>
      <c r="G105" s="105"/>
      <c r="H105" s="105"/>
      <c r="I105" s="105"/>
      <c r="J105" s="105"/>
      <c r="K105" s="105"/>
      <c r="L105" s="105"/>
      <c r="M105" s="105"/>
      <c r="N105" s="107"/>
    </row>
    <row r="106" spans="1:15" ht="15" customHeight="1" x14ac:dyDescent="0.15">
      <c r="A106" s="68" t="s">
        <v>25</v>
      </c>
      <c r="B106" s="69"/>
      <c r="C106" s="66"/>
      <c r="D106" s="70"/>
      <c r="E106" s="66"/>
      <c r="F106" s="66"/>
      <c r="G106" s="26"/>
      <c r="H106" s="66"/>
      <c r="I106" s="66"/>
      <c r="J106" s="66"/>
      <c r="K106" s="66"/>
      <c r="L106" s="66"/>
      <c r="M106" s="66"/>
      <c r="N106" s="71"/>
    </row>
    <row r="107" spans="1:15" ht="15" customHeight="1" x14ac:dyDescent="0.15">
      <c r="A107" s="14" t="s">
        <v>4</v>
      </c>
      <c r="B107" s="89"/>
      <c r="C107" s="129" t="s">
        <v>62</v>
      </c>
      <c r="D107" s="145"/>
      <c r="E107" s="76">
        <f>SUM(E108:E121)</f>
        <v>472000</v>
      </c>
      <c r="F107" s="76">
        <f>SUM(F108:F121)</f>
        <v>577000</v>
      </c>
      <c r="G107" s="76">
        <f t="shared" ref="G107:M107" si="40">SUM(G108:G121)</f>
        <v>36487.93</v>
      </c>
      <c r="H107" s="76">
        <f t="shared" si="40"/>
        <v>2552</v>
      </c>
      <c r="I107" s="76">
        <f t="shared" si="40"/>
        <v>1965.6</v>
      </c>
      <c r="J107" s="76">
        <f t="shared" si="40"/>
        <v>2561.0300000000002</v>
      </c>
      <c r="K107" s="76">
        <f t="shared" si="40"/>
        <v>11404.439999999999</v>
      </c>
      <c r="L107" s="76">
        <f t="shared" si="40"/>
        <v>4800</v>
      </c>
      <c r="M107" s="76">
        <f t="shared" si="40"/>
        <v>13204.86</v>
      </c>
      <c r="N107" s="76">
        <f t="shared" ref="N107:N120" si="41">ROUND(G107/F107*100,1)</f>
        <v>6.3</v>
      </c>
      <c r="O107" s="66"/>
    </row>
    <row r="108" spans="1:15" s="21" customFormat="1" ht="15" customHeight="1" x14ac:dyDescent="0.15">
      <c r="A108" s="59" t="s">
        <v>20</v>
      </c>
      <c r="B108" s="60" t="s">
        <v>22</v>
      </c>
      <c r="C108" s="78" t="s">
        <v>119</v>
      </c>
      <c r="D108" s="128" t="s">
        <v>7</v>
      </c>
      <c r="E108" s="133">
        <v>100000</v>
      </c>
      <c r="F108" s="133">
        <v>100000</v>
      </c>
      <c r="G108" s="6">
        <f t="shared" ref="G108:G120" si="42">SUM(H108:M108)</f>
        <v>0</v>
      </c>
      <c r="H108" s="133"/>
      <c r="I108" s="133"/>
      <c r="J108" s="133"/>
      <c r="K108" s="133"/>
      <c r="L108" s="133"/>
      <c r="M108" s="133"/>
      <c r="N108" s="6">
        <f t="shared" si="41"/>
        <v>0</v>
      </c>
      <c r="O108" s="65"/>
    </row>
    <row r="109" spans="1:15" s="21" customFormat="1" ht="15" customHeight="1" x14ac:dyDescent="0.15">
      <c r="A109" s="59" t="s">
        <v>20</v>
      </c>
      <c r="B109" s="60" t="s">
        <v>22</v>
      </c>
      <c r="C109" s="78" t="s">
        <v>120</v>
      </c>
      <c r="D109" s="128" t="s">
        <v>7</v>
      </c>
      <c r="E109" s="133">
        <v>75000</v>
      </c>
      <c r="F109" s="133">
        <v>75000</v>
      </c>
      <c r="G109" s="6">
        <f t="shared" si="42"/>
        <v>0</v>
      </c>
      <c r="H109" s="133"/>
      <c r="I109" s="133"/>
      <c r="J109" s="133"/>
      <c r="K109" s="133"/>
      <c r="L109" s="133"/>
      <c r="M109" s="133"/>
      <c r="N109" s="6">
        <f t="shared" si="41"/>
        <v>0</v>
      </c>
      <c r="O109" s="65"/>
    </row>
    <row r="110" spans="1:15" s="21" customFormat="1" ht="15" customHeight="1" x14ac:dyDescent="0.15">
      <c r="A110" s="59" t="s">
        <v>20</v>
      </c>
      <c r="B110" s="60" t="s">
        <v>22</v>
      </c>
      <c r="C110" s="78" t="s">
        <v>121</v>
      </c>
      <c r="D110" s="128" t="s">
        <v>7</v>
      </c>
      <c r="E110" s="133">
        <v>45000</v>
      </c>
      <c r="F110" s="133">
        <v>45000</v>
      </c>
      <c r="G110" s="6">
        <f t="shared" si="42"/>
        <v>0</v>
      </c>
      <c r="H110" s="133"/>
      <c r="I110" s="133"/>
      <c r="J110" s="133"/>
      <c r="K110" s="133"/>
      <c r="L110" s="133"/>
      <c r="M110" s="133"/>
      <c r="N110" s="6">
        <f t="shared" si="41"/>
        <v>0</v>
      </c>
      <c r="O110" s="65"/>
    </row>
    <row r="111" spans="1:15" s="21" customFormat="1" ht="15" customHeight="1" x14ac:dyDescent="0.15">
      <c r="A111" s="59" t="s">
        <v>20</v>
      </c>
      <c r="B111" s="60" t="s">
        <v>22</v>
      </c>
      <c r="C111" s="78" t="s">
        <v>122</v>
      </c>
      <c r="D111" s="128" t="s">
        <v>7</v>
      </c>
      <c r="E111" s="133">
        <v>40000</v>
      </c>
      <c r="F111" s="133">
        <v>40000</v>
      </c>
      <c r="G111" s="6">
        <f t="shared" si="42"/>
        <v>0</v>
      </c>
      <c r="H111" s="133"/>
      <c r="I111" s="133"/>
      <c r="J111" s="133"/>
      <c r="K111" s="133"/>
      <c r="L111" s="133"/>
      <c r="M111" s="133"/>
      <c r="N111" s="6">
        <f t="shared" si="41"/>
        <v>0</v>
      </c>
      <c r="O111" s="65"/>
    </row>
    <row r="112" spans="1:15" s="21" customFormat="1" ht="15" customHeight="1" x14ac:dyDescent="0.15">
      <c r="A112" s="59" t="s">
        <v>20</v>
      </c>
      <c r="B112" s="60" t="s">
        <v>22</v>
      </c>
      <c r="C112" s="78" t="s">
        <v>123</v>
      </c>
      <c r="D112" s="128" t="s">
        <v>7</v>
      </c>
      <c r="E112" s="133">
        <v>35000</v>
      </c>
      <c r="F112" s="133">
        <v>35000</v>
      </c>
      <c r="G112" s="6">
        <f t="shared" si="42"/>
        <v>0</v>
      </c>
      <c r="H112" s="133"/>
      <c r="I112" s="133"/>
      <c r="J112" s="133"/>
      <c r="K112" s="133"/>
      <c r="L112" s="133"/>
      <c r="M112" s="133"/>
      <c r="N112" s="6">
        <f t="shared" si="41"/>
        <v>0</v>
      </c>
      <c r="O112" s="65"/>
    </row>
    <row r="113" spans="1:15" s="21" customFormat="1" ht="15" customHeight="1" x14ac:dyDescent="0.15">
      <c r="A113" s="59" t="s">
        <v>20</v>
      </c>
      <c r="B113" s="60" t="s">
        <v>22</v>
      </c>
      <c r="C113" s="78" t="s">
        <v>124</v>
      </c>
      <c r="D113" s="128" t="s">
        <v>7</v>
      </c>
      <c r="E113" s="133">
        <v>32000</v>
      </c>
      <c r="F113" s="133">
        <v>32000</v>
      </c>
      <c r="G113" s="6">
        <f t="shared" si="42"/>
        <v>0</v>
      </c>
      <c r="H113" s="133"/>
      <c r="I113" s="133"/>
      <c r="J113" s="133"/>
      <c r="K113" s="133"/>
      <c r="L113" s="133"/>
      <c r="M113" s="133"/>
      <c r="N113" s="6">
        <f t="shared" si="41"/>
        <v>0</v>
      </c>
      <c r="O113" s="65"/>
    </row>
    <row r="114" spans="1:15" s="21" customFormat="1" ht="15" customHeight="1" x14ac:dyDescent="0.15">
      <c r="A114" s="59" t="s">
        <v>20</v>
      </c>
      <c r="B114" s="60" t="s">
        <v>22</v>
      </c>
      <c r="C114" s="78" t="s">
        <v>125</v>
      </c>
      <c r="D114" s="128" t="s">
        <v>7</v>
      </c>
      <c r="E114" s="133">
        <v>30000</v>
      </c>
      <c r="F114" s="133">
        <v>30000</v>
      </c>
      <c r="G114" s="6">
        <f t="shared" si="42"/>
        <v>0</v>
      </c>
      <c r="H114" s="133"/>
      <c r="I114" s="133"/>
      <c r="J114" s="133"/>
      <c r="K114" s="133"/>
      <c r="L114" s="133"/>
      <c r="M114" s="133"/>
      <c r="N114" s="6">
        <f t="shared" si="41"/>
        <v>0</v>
      </c>
      <c r="O114" s="65"/>
    </row>
    <row r="115" spans="1:15" s="21" customFormat="1" ht="15" customHeight="1" x14ac:dyDescent="0.15">
      <c r="A115" s="59" t="s">
        <v>20</v>
      </c>
      <c r="B115" s="60" t="s">
        <v>22</v>
      </c>
      <c r="C115" s="78" t="s">
        <v>102</v>
      </c>
      <c r="D115" s="128" t="s">
        <v>7</v>
      </c>
      <c r="E115" s="133">
        <v>30000</v>
      </c>
      <c r="F115" s="133">
        <f>30000+60000</f>
        <v>90000</v>
      </c>
      <c r="G115" s="6">
        <f t="shared" si="42"/>
        <v>8441.64</v>
      </c>
      <c r="H115" s="133"/>
      <c r="I115" s="133"/>
      <c r="J115" s="133"/>
      <c r="K115" s="133">
        <v>8441.64</v>
      </c>
      <c r="L115" s="133"/>
      <c r="M115" s="133"/>
      <c r="N115" s="6">
        <f t="shared" si="41"/>
        <v>9.4</v>
      </c>
      <c r="O115" s="65"/>
    </row>
    <row r="116" spans="1:15" s="21" customFormat="1" ht="15" customHeight="1" x14ac:dyDescent="0.15">
      <c r="A116" s="59" t="s">
        <v>20</v>
      </c>
      <c r="B116" s="60" t="s">
        <v>22</v>
      </c>
      <c r="C116" s="78" t="s">
        <v>126</v>
      </c>
      <c r="D116" s="128" t="s">
        <v>7</v>
      </c>
      <c r="E116" s="133">
        <v>27000</v>
      </c>
      <c r="F116" s="133">
        <v>27000</v>
      </c>
      <c r="G116" s="6">
        <f t="shared" si="42"/>
        <v>0</v>
      </c>
      <c r="H116" s="133"/>
      <c r="I116" s="133"/>
      <c r="J116" s="133"/>
      <c r="K116" s="133"/>
      <c r="L116" s="133"/>
      <c r="M116" s="133"/>
      <c r="N116" s="6">
        <f t="shared" si="41"/>
        <v>0</v>
      </c>
      <c r="O116" s="65"/>
    </row>
    <row r="117" spans="1:15" s="21" customFormat="1" ht="15" customHeight="1" x14ac:dyDescent="0.15">
      <c r="A117" s="59" t="s">
        <v>20</v>
      </c>
      <c r="B117" s="60" t="s">
        <v>22</v>
      </c>
      <c r="C117" s="78" t="s">
        <v>127</v>
      </c>
      <c r="D117" s="128" t="s">
        <v>7</v>
      </c>
      <c r="E117" s="6">
        <v>20000</v>
      </c>
      <c r="F117" s="6">
        <v>20000</v>
      </c>
      <c r="G117" s="6">
        <f t="shared" si="42"/>
        <v>28046.29</v>
      </c>
      <c r="H117" s="6">
        <v>2552</v>
      </c>
      <c r="I117" s="6">
        <v>1965.6</v>
      </c>
      <c r="J117" s="6">
        <v>2561.0300000000002</v>
      </c>
      <c r="K117" s="6">
        <v>2962.8</v>
      </c>
      <c r="L117" s="6">
        <v>4800</v>
      </c>
      <c r="M117" s="6">
        <v>13204.86</v>
      </c>
      <c r="N117" s="6">
        <f t="shared" si="41"/>
        <v>140.19999999999999</v>
      </c>
      <c r="O117" s="65"/>
    </row>
    <row r="118" spans="1:15" s="21" customFormat="1" ht="15" customHeight="1" x14ac:dyDescent="0.15">
      <c r="A118" s="59" t="s">
        <v>20</v>
      </c>
      <c r="B118" s="60" t="s">
        <v>22</v>
      </c>
      <c r="C118" s="78" t="s">
        <v>128</v>
      </c>
      <c r="D118" s="128" t="s">
        <v>7</v>
      </c>
      <c r="E118" s="6">
        <v>20000</v>
      </c>
      <c r="F118" s="6">
        <v>20000</v>
      </c>
      <c r="G118" s="6">
        <f t="shared" si="42"/>
        <v>0</v>
      </c>
      <c r="H118" s="6"/>
      <c r="I118" s="6"/>
      <c r="J118" s="6"/>
      <c r="K118" s="6"/>
      <c r="L118" s="6"/>
      <c r="M118" s="6"/>
      <c r="N118" s="6">
        <f t="shared" si="41"/>
        <v>0</v>
      </c>
      <c r="O118" s="65"/>
    </row>
    <row r="119" spans="1:15" s="21" customFormat="1" ht="15" customHeight="1" x14ac:dyDescent="0.15">
      <c r="A119" s="59" t="s">
        <v>20</v>
      </c>
      <c r="B119" s="60" t="s">
        <v>22</v>
      </c>
      <c r="C119" s="78" t="s">
        <v>129</v>
      </c>
      <c r="D119" s="128" t="s">
        <v>7</v>
      </c>
      <c r="E119" s="6">
        <v>18000</v>
      </c>
      <c r="F119" s="6">
        <v>18000</v>
      </c>
      <c r="G119" s="6">
        <f t="shared" si="42"/>
        <v>0</v>
      </c>
      <c r="H119" s="6"/>
      <c r="I119" s="6"/>
      <c r="J119" s="6"/>
      <c r="K119" s="6"/>
      <c r="L119" s="6"/>
      <c r="M119" s="6"/>
      <c r="N119" s="6">
        <f t="shared" si="41"/>
        <v>0</v>
      </c>
      <c r="O119" s="65"/>
    </row>
    <row r="120" spans="1:15" s="21" customFormat="1" ht="15" customHeight="1" x14ac:dyDescent="0.15">
      <c r="A120" s="59" t="s">
        <v>20</v>
      </c>
      <c r="B120" s="266" t="s">
        <v>22</v>
      </c>
      <c r="C120" s="88" t="s">
        <v>214</v>
      </c>
      <c r="D120" s="276" t="s">
        <v>7</v>
      </c>
      <c r="E120" s="88"/>
      <c r="F120" s="88">
        <v>45000</v>
      </c>
      <c r="G120" s="255">
        <f t="shared" si="42"/>
        <v>0</v>
      </c>
      <c r="H120" s="88"/>
      <c r="I120" s="88"/>
      <c r="J120" s="88"/>
      <c r="K120" s="88"/>
      <c r="L120" s="88"/>
      <c r="M120" s="88"/>
      <c r="N120" s="6">
        <f t="shared" si="41"/>
        <v>0</v>
      </c>
      <c r="O120" s="65"/>
    </row>
    <row r="121" spans="1:15" ht="15" customHeight="1" x14ac:dyDescent="0.15">
      <c r="A121" s="68" t="s">
        <v>25</v>
      </c>
      <c r="B121" s="269"/>
      <c r="C121" s="270"/>
      <c r="D121" s="271"/>
      <c r="E121" s="270"/>
      <c r="F121" s="270"/>
      <c r="G121" s="270"/>
      <c r="H121" s="270"/>
      <c r="I121" s="270"/>
      <c r="J121" s="270"/>
      <c r="K121" s="270"/>
      <c r="L121" s="270"/>
      <c r="M121" s="270"/>
      <c r="N121" s="277"/>
    </row>
    <row r="122" spans="1:15" ht="15" customHeight="1" x14ac:dyDescent="0.15">
      <c r="A122" s="14" t="s">
        <v>4</v>
      </c>
      <c r="B122" s="89"/>
      <c r="C122" s="129" t="s">
        <v>63</v>
      </c>
      <c r="D122" s="145"/>
      <c r="E122" s="76">
        <f t="shared" ref="E122:M122" si="43">SUM(E123:E127)</f>
        <v>97140</v>
      </c>
      <c r="F122" s="76">
        <f t="shared" si="43"/>
        <v>97140</v>
      </c>
      <c r="G122" s="76">
        <f t="shared" si="43"/>
        <v>57480.600000000006</v>
      </c>
      <c r="H122" s="76">
        <f t="shared" si="43"/>
        <v>24656.32</v>
      </c>
      <c r="I122" s="76">
        <f t="shared" si="43"/>
        <v>14087.12</v>
      </c>
      <c r="J122" s="76">
        <f t="shared" si="43"/>
        <v>1217.1600000000001</v>
      </c>
      <c r="K122" s="76">
        <f t="shared" si="43"/>
        <v>1440</v>
      </c>
      <c r="L122" s="76">
        <f t="shared" si="43"/>
        <v>6600</v>
      </c>
      <c r="M122" s="76">
        <f t="shared" si="43"/>
        <v>9480</v>
      </c>
      <c r="N122" s="76">
        <f>ROUND(G122/F122*100,1)</f>
        <v>59.2</v>
      </c>
      <c r="O122" s="66"/>
    </row>
    <row r="123" spans="1:15" s="21" customFormat="1" ht="15" customHeight="1" x14ac:dyDescent="0.15">
      <c r="A123" s="59" t="s">
        <v>20</v>
      </c>
      <c r="B123" s="60" t="s">
        <v>22</v>
      </c>
      <c r="C123" s="78" t="s">
        <v>130</v>
      </c>
      <c r="D123" s="128" t="s">
        <v>7</v>
      </c>
      <c r="E123" s="6">
        <v>51440</v>
      </c>
      <c r="F123" s="6">
        <v>51440</v>
      </c>
      <c r="G123" s="6">
        <f>SUM(H123:M123)</f>
        <v>44280.600000000006</v>
      </c>
      <c r="H123" s="6">
        <v>24656.32</v>
      </c>
      <c r="I123" s="6">
        <v>14087.12</v>
      </c>
      <c r="J123" s="6">
        <v>1217.1600000000001</v>
      </c>
      <c r="K123" s="6">
        <v>1440</v>
      </c>
      <c r="L123" s="6"/>
      <c r="M123" s="6">
        <v>2880</v>
      </c>
      <c r="N123" s="6">
        <f>ROUND(G123/F123*100,1)</f>
        <v>86.1</v>
      </c>
      <c r="O123" s="65"/>
    </row>
    <row r="124" spans="1:15" s="21" customFormat="1" ht="15" customHeight="1" x14ac:dyDescent="0.15">
      <c r="A124" s="59" t="s">
        <v>20</v>
      </c>
      <c r="B124" s="60" t="s">
        <v>23</v>
      </c>
      <c r="C124" s="78" t="s">
        <v>131</v>
      </c>
      <c r="D124" s="128" t="s">
        <v>7</v>
      </c>
      <c r="E124" s="6">
        <v>30000</v>
      </c>
      <c r="F124" s="6">
        <v>30000</v>
      </c>
      <c r="G124" s="6">
        <f>SUM(H124:M124)</f>
        <v>0</v>
      </c>
      <c r="H124" s="6"/>
      <c r="I124" s="6"/>
      <c r="J124" s="6"/>
      <c r="K124" s="6"/>
      <c r="L124" s="6"/>
      <c r="M124" s="6"/>
      <c r="N124" s="6">
        <f>ROUND(G124/F124*100,1)</f>
        <v>0</v>
      </c>
      <c r="O124" s="65"/>
    </row>
    <row r="125" spans="1:15" s="21" customFormat="1" ht="15" customHeight="1" x14ac:dyDescent="0.15">
      <c r="A125" s="59" t="s">
        <v>20</v>
      </c>
      <c r="B125" s="60" t="s">
        <v>22</v>
      </c>
      <c r="C125" s="78" t="s">
        <v>132</v>
      </c>
      <c r="D125" s="128" t="s">
        <v>7</v>
      </c>
      <c r="E125" s="6">
        <v>13500</v>
      </c>
      <c r="F125" s="6">
        <v>13500</v>
      </c>
      <c r="G125" s="6">
        <f>SUM(H125:M125)</f>
        <v>13200</v>
      </c>
      <c r="H125" s="6"/>
      <c r="I125" s="6"/>
      <c r="J125" s="6"/>
      <c r="K125" s="6"/>
      <c r="L125" s="6">
        <v>6600</v>
      </c>
      <c r="M125" s="6">
        <v>6600</v>
      </c>
      <c r="N125" s="6">
        <f>ROUND(G125/F125*100,1)</f>
        <v>97.8</v>
      </c>
      <c r="O125" s="65"/>
    </row>
    <row r="126" spans="1:15" s="21" customFormat="1" ht="15" customHeight="1" x14ac:dyDescent="0.15">
      <c r="A126" s="59" t="s">
        <v>20</v>
      </c>
      <c r="B126" s="60" t="s">
        <v>22</v>
      </c>
      <c r="C126" s="78" t="s">
        <v>133</v>
      </c>
      <c r="D126" s="128" t="s">
        <v>7</v>
      </c>
      <c r="E126" s="6">
        <v>2200</v>
      </c>
      <c r="F126" s="6">
        <v>2200</v>
      </c>
      <c r="G126" s="6">
        <f>SUM(H126:M126)</f>
        <v>0</v>
      </c>
      <c r="H126" s="6"/>
      <c r="I126" s="6"/>
      <c r="J126" s="6"/>
      <c r="K126" s="6"/>
      <c r="L126" s="6"/>
      <c r="M126" s="6"/>
      <c r="N126" s="6">
        <f>ROUND(G126/F126*100,1)</f>
        <v>0</v>
      </c>
      <c r="O126" s="65"/>
    </row>
    <row r="127" spans="1:15" ht="15" customHeight="1" x14ac:dyDescent="0.15">
      <c r="A127" s="81" t="s">
        <v>25</v>
      </c>
      <c r="B127" s="120"/>
      <c r="C127" s="121"/>
      <c r="D127" s="134"/>
      <c r="E127" s="121"/>
      <c r="F127" s="121"/>
      <c r="G127" s="121"/>
      <c r="H127" s="121"/>
      <c r="I127" s="121"/>
      <c r="J127" s="121"/>
      <c r="K127" s="121"/>
      <c r="L127" s="121"/>
      <c r="M127" s="121"/>
      <c r="N127" s="122"/>
    </row>
    <row r="128" spans="1:15" s="152" customFormat="1" ht="17.25" customHeight="1" x14ac:dyDescent="0.25">
      <c r="A128" s="43" t="s">
        <v>16</v>
      </c>
      <c r="B128" s="146"/>
      <c r="C128" s="147" t="s">
        <v>64</v>
      </c>
      <c r="D128" s="148"/>
      <c r="E128" s="149">
        <f>SUM(E129,E142,E150,E157,E160,E171,E182)</f>
        <v>1365809</v>
      </c>
      <c r="F128" s="149">
        <f>SUM(F129,F142,F150,F157,F160,F171,F182,F185)</f>
        <v>2324115</v>
      </c>
      <c r="G128" s="149">
        <f t="shared" ref="G128:M128" si="44">SUM(G129,G142,G150,G157,G160,G171,G182,G185)</f>
        <v>483776.06999999995</v>
      </c>
      <c r="H128" s="149">
        <f t="shared" si="44"/>
        <v>2681</v>
      </c>
      <c r="I128" s="149">
        <f t="shared" si="44"/>
        <v>35595</v>
      </c>
      <c r="J128" s="149">
        <f t="shared" si="44"/>
        <v>30031.86</v>
      </c>
      <c r="K128" s="149">
        <f t="shared" si="44"/>
        <v>120211.1</v>
      </c>
      <c r="L128" s="149">
        <f t="shared" si="44"/>
        <v>36104</v>
      </c>
      <c r="M128" s="149">
        <f t="shared" si="44"/>
        <v>209290</v>
      </c>
      <c r="N128" s="150">
        <f t="shared" ref="N128:N136" si="45">ROUND(G128/F128*100,1)</f>
        <v>20.8</v>
      </c>
      <c r="O128" s="151"/>
    </row>
    <row r="129" spans="1:15" s="58" customFormat="1" ht="15" customHeight="1" x14ac:dyDescent="0.15">
      <c r="A129" s="14" t="s">
        <v>4</v>
      </c>
      <c r="B129" s="153"/>
      <c r="C129" s="129" t="s">
        <v>66</v>
      </c>
      <c r="D129" s="145"/>
      <c r="E129" s="196">
        <f>SUM(E130,E133:E141)</f>
        <v>578060</v>
      </c>
      <c r="F129" s="196">
        <f>SUM(F130,F133:F141)</f>
        <v>767360</v>
      </c>
      <c r="G129" s="196">
        <f t="shared" ref="G129:M129" si="46">SUM(G130,G133:G141)</f>
        <v>236976</v>
      </c>
      <c r="H129" s="196">
        <f t="shared" si="46"/>
        <v>623</v>
      </c>
      <c r="I129" s="196">
        <f t="shared" si="46"/>
        <v>4975</v>
      </c>
      <c r="J129" s="196">
        <f t="shared" si="46"/>
        <v>0</v>
      </c>
      <c r="K129" s="196">
        <f t="shared" si="46"/>
        <v>29441</v>
      </c>
      <c r="L129" s="196">
        <f t="shared" si="46"/>
        <v>31228</v>
      </c>
      <c r="M129" s="196">
        <f t="shared" si="46"/>
        <v>170709</v>
      </c>
      <c r="N129" s="76">
        <f t="shared" si="45"/>
        <v>30.9</v>
      </c>
      <c r="O129" s="154"/>
    </row>
    <row r="130" spans="1:15" s="58" customFormat="1" ht="15" customHeight="1" x14ac:dyDescent="0.15">
      <c r="A130" s="156"/>
      <c r="B130" s="157"/>
      <c r="C130" s="77" t="s">
        <v>67</v>
      </c>
      <c r="D130" s="158"/>
      <c r="E130" s="142">
        <f>SUM(E131:E132)</f>
        <v>80060</v>
      </c>
      <c r="F130" s="142">
        <f>SUM(F131:F132)</f>
        <v>80060</v>
      </c>
      <c r="G130" s="6">
        <f t="shared" ref="G130:G140" si="47">SUM(H130:M130)</f>
        <v>0</v>
      </c>
      <c r="H130" s="142">
        <f t="shared" ref="H130:I130" si="48">SUM(H131:H132)</f>
        <v>0</v>
      </c>
      <c r="I130" s="142">
        <f t="shared" si="48"/>
        <v>0</v>
      </c>
      <c r="J130" s="142"/>
      <c r="K130" s="142"/>
      <c r="L130" s="142"/>
      <c r="M130" s="142"/>
      <c r="N130" s="159">
        <f t="shared" si="45"/>
        <v>0</v>
      </c>
      <c r="O130" s="154"/>
    </row>
    <row r="131" spans="1:15" s="32" customFormat="1" ht="15" customHeight="1" x14ac:dyDescent="0.15">
      <c r="A131" s="59" t="s">
        <v>20</v>
      </c>
      <c r="B131" s="60" t="s">
        <v>23</v>
      </c>
      <c r="C131" s="161" t="s">
        <v>136</v>
      </c>
      <c r="D131" s="162" t="s">
        <v>11</v>
      </c>
      <c r="E131" s="165">
        <v>75000</v>
      </c>
      <c r="F131" s="198">
        <v>75000</v>
      </c>
      <c r="G131" s="6">
        <f t="shared" si="47"/>
        <v>0</v>
      </c>
      <c r="H131" s="62"/>
      <c r="I131" s="62"/>
      <c r="J131" s="62"/>
      <c r="K131" s="62"/>
      <c r="L131" s="62"/>
      <c r="M131" s="62"/>
      <c r="N131" s="62">
        <f t="shared" si="45"/>
        <v>0</v>
      </c>
      <c r="O131" s="163"/>
    </row>
    <row r="132" spans="1:15" s="32" customFormat="1" ht="15" customHeight="1" x14ac:dyDescent="0.15">
      <c r="A132" s="59" t="s">
        <v>20</v>
      </c>
      <c r="B132" s="60" t="s">
        <v>68</v>
      </c>
      <c r="C132" s="164" t="s">
        <v>137</v>
      </c>
      <c r="D132" s="162" t="s">
        <v>11</v>
      </c>
      <c r="E132" s="165">
        <v>5060</v>
      </c>
      <c r="F132" s="198">
        <v>5060</v>
      </c>
      <c r="G132" s="6">
        <f t="shared" si="47"/>
        <v>0</v>
      </c>
      <c r="H132" s="62"/>
      <c r="I132" s="62"/>
      <c r="J132" s="62"/>
      <c r="K132" s="62"/>
      <c r="L132" s="62"/>
      <c r="M132" s="62"/>
      <c r="N132" s="62">
        <f t="shared" si="45"/>
        <v>0</v>
      </c>
      <c r="O132" s="163"/>
    </row>
    <row r="133" spans="1:15" s="21" customFormat="1" ht="15" customHeight="1" x14ac:dyDescent="0.15">
      <c r="A133" s="59" t="s">
        <v>20</v>
      </c>
      <c r="B133" s="60" t="s">
        <v>23</v>
      </c>
      <c r="C133" s="78" t="s">
        <v>134</v>
      </c>
      <c r="D133" s="128" t="s">
        <v>7</v>
      </c>
      <c r="E133" s="142">
        <v>330000</v>
      </c>
      <c r="F133" s="142">
        <f>330000+140000</f>
        <v>470000</v>
      </c>
      <c r="G133" s="6">
        <f t="shared" si="47"/>
        <v>225656</v>
      </c>
      <c r="H133" s="102">
        <v>623</v>
      </c>
      <c r="I133" s="102">
        <v>4975</v>
      </c>
      <c r="J133" s="102"/>
      <c r="K133" s="102">
        <v>29441</v>
      </c>
      <c r="L133" s="102">
        <v>30808</v>
      </c>
      <c r="M133" s="102">
        <v>159809</v>
      </c>
      <c r="N133" s="62">
        <f t="shared" si="45"/>
        <v>48</v>
      </c>
      <c r="O133" s="63"/>
    </row>
    <row r="134" spans="1:15" s="21" customFormat="1" ht="15" customHeight="1" x14ac:dyDescent="0.15">
      <c r="A134" s="59" t="s">
        <v>20</v>
      </c>
      <c r="B134" s="60" t="s">
        <v>27</v>
      </c>
      <c r="C134" s="78" t="s">
        <v>135</v>
      </c>
      <c r="D134" s="34" t="s">
        <v>11</v>
      </c>
      <c r="E134" s="142">
        <v>100000</v>
      </c>
      <c r="F134" s="142">
        <v>100000</v>
      </c>
      <c r="G134" s="6">
        <f t="shared" si="47"/>
        <v>0</v>
      </c>
      <c r="H134" s="102"/>
      <c r="I134" s="102"/>
      <c r="J134" s="102"/>
      <c r="K134" s="102"/>
      <c r="L134" s="102"/>
      <c r="M134" s="102"/>
      <c r="N134" s="62">
        <f t="shared" si="45"/>
        <v>0</v>
      </c>
      <c r="O134" s="63"/>
    </row>
    <row r="135" spans="1:15" s="21" customFormat="1" ht="15" customHeight="1" x14ac:dyDescent="0.15">
      <c r="A135" s="59" t="s">
        <v>20</v>
      </c>
      <c r="B135" s="60" t="s">
        <v>23</v>
      </c>
      <c r="C135" s="78" t="s">
        <v>138</v>
      </c>
      <c r="D135" s="128" t="s">
        <v>7</v>
      </c>
      <c r="E135" s="77">
        <v>40000</v>
      </c>
      <c r="F135" s="77">
        <v>40000</v>
      </c>
      <c r="G135" s="6">
        <f t="shared" si="47"/>
        <v>1020</v>
      </c>
      <c r="H135" s="78"/>
      <c r="I135" s="78"/>
      <c r="J135" s="78"/>
      <c r="K135" s="78"/>
      <c r="L135" s="78">
        <v>420</v>
      </c>
      <c r="M135" s="78">
        <v>600</v>
      </c>
      <c r="N135" s="62">
        <f t="shared" si="45"/>
        <v>2.6</v>
      </c>
      <c r="O135" s="64"/>
    </row>
    <row r="136" spans="1:15" s="21" customFormat="1" ht="15" customHeight="1" x14ac:dyDescent="0.15">
      <c r="A136" s="59" t="s">
        <v>20</v>
      </c>
      <c r="B136" s="60" t="s">
        <v>23</v>
      </c>
      <c r="C136" s="78" t="s">
        <v>226</v>
      </c>
      <c r="D136" s="128" t="s">
        <v>7</v>
      </c>
      <c r="E136" s="77"/>
      <c r="F136" s="77">
        <v>30000</v>
      </c>
      <c r="G136" s="6">
        <f t="shared" si="47"/>
        <v>0</v>
      </c>
      <c r="H136" s="78"/>
      <c r="I136" s="78"/>
      <c r="J136" s="78"/>
      <c r="K136" s="78"/>
      <c r="L136" s="78"/>
      <c r="M136" s="78"/>
      <c r="N136" s="62">
        <f t="shared" si="45"/>
        <v>0</v>
      </c>
      <c r="O136" s="64"/>
    </row>
    <row r="137" spans="1:15" s="21" customFormat="1" ht="15" customHeight="1" x14ac:dyDescent="0.15">
      <c r="A137" s="59" t="s">
        <v>20</v>
      </c>
      <c r="B137" s="60" t="s">
        <v>23</v>
      </c>
      <c r="C137" s="78" t="s">
        <v>139</v>
      </c>
      <c r="D137" s="128" t="s">
        <v>11</v>
      </c>
      <c r="E137" s="77">
        <v>20000</v>
      </c>
      <c r="F137" s="77">
        <v>20000</v>
      </c>
      <c r="G137" s="6">
        <f t="shared" si="47"/>
        <v>0</v>
      </c>
      <c r="H137" s="78"/>
      <c r="I137" s="78"/>
      <c r="J137" s="78"/>
      <c r="K137" s="78"/>
      <c r="L137" s="78"/>
      <c r="M137" s="78"/>
      <c r="N137" s="62">
        <f>ROUND(G137/F137*100,1)</f>
        <v>0</v>
      </c>
      <c r="O137" s="65"/>
    </row>
    <row r="138" spans="1:15" s="21" customFormat="1" ht="15" customHeight="1" x14ac:dyDescent="0.15">
      <c r="A138" s="59" t="s">
        <v>20</v>
      </c>
      <c r="B138" s="60" t="s">
        <v>68</v>
      </c>
      <c r="C138" s="78" t="s">
        <v>201</v>
      </c>
      <c r="D138" s="128" t="s">
        <v>11</v>
      </c>
      <c r="E138" s="77"/>
      <c r="F138" s="77">
        <v>9000</v>
      </c>
      <c r="G138" s="6">
        <f t="shared" si="47"/>
        <v>0</v>
      </c>
      <c r="H138" s="78"/>
      <c r="I138" s="78"/>
      <c r="J138" s="78"/>
      <c r="K138" s="78"/>
      <c r="L138" s="78"/>
      <c r="M138" s="78"/>
      <c r="N138" s="62">
        <f>ROUND(G138/F138*100,1)</f>
        <v>0</v>
      </c>
      <c r="O138" s="65"/>
    </row>
    <row r="139" spans="1:15" s="21" customFormat="1" ht="15" customHeight="1" x14ac:dyDescent="0.15">
      <c r="A139" s="59" t="s">
        <v>20</v>
      </c>
      <c r="B139" s="60" t="s">
        <v>68</v>
      </c>
      <c r="C139" s="78" t="s">
        <v>215</v>
      </c>
      <c r="D139" s="128" t="s">
        <v>11</v>
      </c>
      <c r="E139" s="77"/>
      <c r="F139" s="77">
        <v>10300</v>
      </c>
      <c r="G139" s="6">
        <f t="shared" si="47"/>
        <v>10300</v>
      </c>
      <c r="H139" s="78"/>
      <c r="I139" s="78"/>
      <c r="J139" s="78"/>
      <c r="K139" s="78"/>
      <c r="L139" s="78"/>
      <c r="M139" s="78">
        <v>10300</v>
      </c>
      <c r="N139" s="62">
        <f>ROUND(G139/F139*100,1)</f>
        <v>100</v>
      </c>
      <c r="O139" s="65"/>
    </row>
    <row r="140" spans="1:15" s="21" customFormat="1" ht="15" customHeight="1" x14ac:dyDescent="0.15">
      <c r="A140" s="59" t="s">
        <v>20</v>
      </c>
      <c r="B140" s="60" t="s">
        <v>68</v>
      </c>
      <c r="C140" s="78" t="s">
        <v>140</v>
      </c>
      <c r="D140" s="128" t="s">
        <v>11</v>
      </c>
      <c r="E140" s="139">
        <v>8000</v>
      </c>
      <c r="F140" s="142">
        <v>8000</v>
      </c>
      <c r="G140" s="6">
        <f t="shared" si="47"/>
        <v>0</v>
      </c>
      <c r="H140" s="6"/>
      <c r="I140" s="6"/>
      <c r="J140" s="6"/>
      <c r="K140" s="6"/>
      <c r="L140" s="6"/>
      <c r="M140" s="6"/>
      <c r="N140" s="62">
        <f>ROUND(G140/F140*100,1)</f>
        <v>0</v>
      </c>
      <c r="O140" s="65"/>
    </row>
    <row r="141" spans="1:15" ht="15" customHeight="1" x14ac:dyDescent="0.15">
      <c r="A141" s="81" t="s">
        <v>25</v>
      </c>
      <c r="B141" s="120"/>
      <c r="C141" s="121"/>
      <c r="D141" s="134"/>
      <c r="E141" s="121"/>
      <c r="F141" s="121"/>
      <c r="G141" s="121"/>
      <c r="H141" s="121"/>
      <c r="I141" s="121"/>
      <c r="J141" s="121"/>
      <c r="K141" s="121"/>
      <c r="L141" s="121"/>
      <c r="M141" s="121"/>
      <c r="N141" s="122"/>
    </row>
    <row r="142" spans="1:15" ht="15" customHeight="1" x14ac:dyDescent="0.15">
      <c r="A142" s="14" t="s">
        <v>4</v>
      </c>
      <c r="B142" s="89"/>
      <c r="C142" s="129" t="s">
        <v>69</v>
      </c>
      <c r="D142" s="90"/>
      <c r="E142" s="196">
        <f>E143+E148</f>
        <v>262600</v>
      </c>
      <c r="F142" s="196">
        <f>SUM(F143,F147,F148)</f>
        <v>507600</v>
      </c>
      <c r="G142" s="196">
        <f>SUM(G143,G147,G148)</f>
        <v>5000</v>
      </c>
      <c r="H142" s="196">
        <f t="shared" ref="H142:M142" si="49">SUM(H143,H147,H148)</f>
        <v>0</v>
      </c>
      <c r="I142" s="196">
        <f t="shared" si="49"/>
        <v>5000</v>
      </c>
      <c r="J142" s="196">
        <f t="shared" si="49"/>
        <v>0</v>
      </c>
      <c r="K142" s="196">
        <f t="shared" si="49"/>
        <v>0</v>
      </c>
      <c r="L142" s="196">
        <f t="shared" si="49"/>
        <v>0</v>
      </c>
      <c r="M142" s="196">
        <f t="shared" si="49"/>
        <v>0</v>
      </c>
      <c r="N142" s="76">
        <f t="shared" ref="N142:N148" si="50">ROUND(G142/F142*100,1)</f>
        <v>1</v>
      </c>
      <c r="O142" s="79"/>
    </row>
    <row r="143" spans="1:15" s="21" customFormat="1" ht="15.75" customHeight="1" x14ac:dyDescent="0.15">
      <c r="A143" s="59"/>
      <c r="B143" s="60"/>
      <c r="C143" s="78" t="s">
        <v>70</v>
      </c>
      <c r="D143" s="34"/>
      <c r="E143" s="138">
        <f>SUM(E144:E146)</f>
        <v>257600</v>
      </c>
      <c r="F143" s="138">
        <f>SUM(F144:F146)</f>
        <v>462600</v>
      </c>
      <c r="G143" s="6">
        <f t="shared" ref="G143:G148" si="51">SUM(H143:M143)</f>
        <v>0</v>
      </c>
      <c r="H143" s="138">
        <f t="shared" ref="H143:I143" si="52">SUM(H144:H146)</f>
        <v>0</v>
      </c>
      <c r="I143" s="138">
        <f t="shared" si="52"/>
        <v>0</v>
      </c>
      <c r="J143" s="138"/>
      <c r="K143" s="138"/>
      <c r="L143" s="138"/>
      <c r="M143" s="138"/>
      <c r="N143" s="62">
        <f t="shared" si="50"/>
        <v>0</v>
      </c>
      <c r="O143" s="63"/>
    </row>
    <row r="144" spans="1:15" s="32" customFormat="1" ht="20.25" customHeight="1" x14ac:dyDescent="0.15">
      <c r="A144" s="59" t="s">
        <v>20</v>
      </c>
      <c r="B144" s="160" t="s">
        <v>23</v>
      </c>
      <c r="C144" s="166" t="s">
        <v>141</v>
      </c>
      <c r="D144" s="167" t="s">
        <v>11</v>
      </c>
      <c r="E144" s="159">
        <v>160000</v>
      </c>
      <c r="F144" s="159">
        <f>160000+205000</f>
        <v>365000</v>
      </c>
      <c r="G144" s="6">
        <f t="shared" si="51"/>
        <v>0</v>
      </c>
      <c r="H144" s="198"/>
      <c r="I144" s="198"/>
      <c r="J144" s="198"/>
      <c r="K144" s="198"/>
      <c r="L144" s="198"/>
      <c r="M144" s="198"/>
      <c r="N144" s="62">
        <f t="shared" si="50"/>
        <v>0</v>
      </c>
      <c r="O144" s="168"/>
    </row>
    <row r="145" spans="1:15" s="32" customFormat="1" ht="18.75" customHeight="1" x14ac:dyDescent="0.15">
      <c r="A145" s="59" t="s">
        <v>20</v>
      </c>
      <c r="B145" s="160" t="s">
        <v>23</v>
      </c>
      <c r="C145" s="161" t="s">
        <v>142</v>
      </c>
      <c r="D145" s="167" t="s">
        <v>11</v>
      </c>
      <c r="E145" s="169">
        <v>50000</v>
      </c>
      <c r="F145" s="169">
        <v>50000</v>
      </c>
      <c r="G145" s="6">
        <f t="shared" si="51"/>
        <v>0</v>
      </c>
      <c r="H145" s="199"/>
      <c r="I145" s="199"/>
      <c r="J145" s="199"/>
      <c r="K145" s="199"/>
      <c r="L145" s="199"/>
      <c r="M145" s="199"/>
      <c r="N145" s="62">
        <f t="shared" si="50"/>
        <v>0</v>
      </c>
      <c r="O145" s="168"/>
    </row>
    <row r="146" spans="1:15" s="32" customFormat="1" ht="15" customHeight="1" x14ac:dyDescent="0.15">
      <c r="A146" s="59" t="s">
        <v>20</v>
      </c>
      <c r="B146" s="160" t="s">
        <v>68</v>
      </c>
      <c r="C146" s="161" t="s">
        <v>143</v>
      </c>
      <c r="D146" s="167" t="s">
        <v>11</v>
      </c>
      <c r="E146" s="169">
        <v>47600</v>
      </c>
      <c r="F146" s="169">
        <v>47600</v>
      </c>
      <c r="G146" s="6">
        <f t="shared" si="51"/>
        <v>0</v>
      </c>
      <c r="H146" s="199"/>
      <c r="I146" s="199"/>
      <c r="J146" s="199"/>
      <c r="K146" s="199"/>
      <c r="L146" s="199"/>
      <c r="M146" s="199"/>
      <c r="N146" s="62">
        <f t="shared" si="50"/>
        <v>0</v>
      </c>
      <c r="O146" s="168"/>
    </row>
    <row r="147" spans="1:15" s="32" customFormat="1" ht="15" customHeight="1" x14ac:dyDescent="0.15">
      <c r="A147" s="59" t="s">
        <v>20</v>
      </c>
      <c r="B147" s="160" t="s">
        <v>23</v>
      </c>
      <c r="C147" s="161" t="s">
        <v>216</v>
      </c>
      <c r="D147" s="167" t="s">
        <v>7</v>
      </c>
      <c r="E147" s="169"/>
      <c r="F147" s="169">
        <v>40000</v>
      </c>
      <c r="G147" s="6">
        <f t="shared" si="51"/>
        <v>0</v>
      </c>
      <c r="H147" s="199"/>
      <c r="I147" s="199"/>
      <c r="J147" s="199"/>
      <c r="K147" s="199"/>
      <c r="L147" s="199"/>
      <c r="M147" s="199"/>
      <c r="N147" s="62">
        <f t="shared" si="50"/>
        <v>0</v>
      </c>
      <c r="O147" s="168"/>
    </row>
    <row r="148" spans="1:15" s="32" customFormat="1" ht="15" customHeight="1" x14ac:dyDescent="0.15">
      <c r="A148" s="59" t="s">
        <v>20</v>
      </c>
      <c r="B148" s="60" t="s">
        <v>68</v>
      </c>
      <c r="C148" s="78" t="s">
        <v>144</v>
      </c>
      <c r="D148" s="167" t="s">
        <v>11</v>
      </c>
      <c r="E148" s="139">
        <v>5000</v>
      </c>
      <c r="F148" s="142">
        <v>5000</v>
      </c>
      <c r="G148" s="6">
        <f t="shared" si="51"/>
        <v>5000</v>
      </c>
      <c r="H148" s="198"/>
      <c r="I148" s="198">
        <v>5000</v>
      </c>
      <c r="J148" s="198"/>
      <c r="K148" s="198"/>
      <c r="L148" s="198"/>
      <c r="M148" s="198"/>
      <c r="N148" s="62">
        <f t="shared" si="50"/>
        <v>100</v>
      </c>
      <c r="O148" s="168"/>
    </row>
    <row r="149" spans="1:15" ht="15" customHeight="1" x14ac:dyDescent="0.15">
      <c r="A149" s="81" t="s">
        <v>25</v>
      </c>
      <c r="B149" s="120"/>
      <c r="C149" s="121"/>
      <c r="D149" s="134"/>
      <c r="E149" s="121"/>
      <c r="F149" s="121"/>
      <c r="G149" s="121"/>
      <c r="H149" s="121"/>
      <c r="I149" s="121"/>
      <c r="J149" s="121"/>
      <c r="K149" s="121"/>
      <c r="L149" s="121"/>
      <c r="M149" s="121"/>
      <c r="N149" s="241"/>
    </row>
    <row r="150" spans="1:15" ht="15" customHeight="1" x14ac:dyDescent="0.15">
      <c r="A150" s="14" t="s">
        <v>4</v>
      </c>
      <c r="B150" s="170"/>
      <c r="C150" s="129" t="s">
        <v>71</v>
      </c>
      <c r="D150" s="74"/>
      <c r="E150" s="76">
        <f>SUM(E151,E155)</f>
        <v>72000</v>
      </c>
      <c r="F150" s="76">
        <f>SUM(F151,F155,F156)</f>
        <v>102000</v>
      </c>
      <c r="G150" s="76">
        <f>SUM(G151,G155,G156)</f>
        <v>10910.86</v>
      </c>
      <c r="H150" s="76">
        <f t="shared" ref="H150:M150" si="53">SUM(H151,H155,H156)</f>
        <v>0</v>
      </c>
      <c r="I150" s="76">
        <f t="shared" si="53"/>
        <v>0</v>
      </c>
      <c r="J150" s="76">
        <f t="shared" si="53"/>
        <v>10010.86</v>
      </c>
      <c r="K150" s="76">
        <f t="shared" si="53"/>
        <v>0</v>
      </c>
      <c r="L150" s="76">
        <f t="shared" si="53"/>
        <v>900</v>
      </c>
      <c r="M150" s="76">
        <f t="shared" si="53"/>
        <v>0</v>
      </c>
      <c r="N150" s="240">
        <f t="shared" ref="N150:N158" si="54">ROUND(G150/F150*100,1)</f>
        <v>10.7</v>
      </c>
      <c r="O150" s="171"/>
    </row>
    <row r="151" spans="1:15" s="21" customFormat="1" ht="15" customHeight="1" x14ac:dyDescent="0.15">
      <c r="A151" s="59" t="s">
        <v>20</v>
      </c>
      <c r="B151" s="60" t="s">
        <v>23</v>
      </c>
      <c r="C151" s="172" t="s">
        <v>145</v>
      </c>
      <c r="D151" s="34"/>
      <c r="E151" s="6">
        <f>SUM(E152:E154)</f>
        <v>62000</v>
      </c>
      <c r="F151" s="6">
        <f>SUM(F152:F154)</f>
        <v>62000</v>
      </c>
      <c r="G151" s="6">
        <f t="shared" ref="G151:G156" si="55">SUM(H151:M151)</f>
        <v>0</v>
      </c>
      <c r="H151" s="6">
        <f t="shared" ref="H151:I151" si="56">SUM(H152:H154)</f>
        <v>0</v>
      </c>
      <c r="I151" s="6">
        <f t="shared" si="56"/>
        <v>0</v>
      </c>
      <c r="J151" s="6"/>
      <c r="K151" s="6"/>
      <c r="L151" s="6"/>
      <c r="M151" s="6"/>
      <c r="N151" s="242">
        <f t="shared" si="54"/>
        <v>0</v>
      </c>
      <c r="O151" s="63"/>
    </row>
    <row r="152" spans="1:15" s="21" customFormat="1" ht="24.75" customHeight="1" x14ac:dyDescent="0.15">
      <c r="A152" s="59" t="s">
        <v>20</v>
      </c>
      <c r="B152" s="60" t="s">
        <v>23</v>
      </c>
      <c r="C152" s="166" t="s">
        <v>146</v>
      </c>
      <c r="D152" s="34" t="s">
        <v>7</v>
      </c>
      <c r="E152" s="62">
        <v>30000</v>
      </c>
      <c r="F152" s="62">
        <v>30000</v>
      </c>
      <c r="G152" s="6">
        <f t="shared" si="55"/>
        <v>0</v>
      </c>
      <c r="H152" s="6"/>
      <c r="I152" s="6"/>
      <c r="J152" s="6"/>
      <c r="K152" s="6"/>
      <c r="L152" s="6"/>
      <c r="M152" s="6"/>
      <c r="N152" s="62">
        <f t="shared" si="54"/>
        <v>0</v>
      </c>
      <c r="O152" s="63"/>
    </row>
    <row r="153" spans="1:15" s="21" customFormat="1" ht="15" customHeight="1" x14ac:dyDescent="0.15">
      <c r="A153" s="59" t="s">
        <v>20</v>
      </c>
      <c r="B153" s="60" t="s">
        <v>23</v>
      </c>
      <c r="C153" s="166" t="s">
        <v>147</v>
      </c>
      <c r="D153" s="34" t="s">
        <v>7</v>
      </c>
      <c r="E153" s="62">
        <v>20000</v>
      </c>
      <c r="F153" s="62">
        <v>20000</v>
      </c>
      <c r="G153" s="6">
        <f t="shared" si="55"/>
        <v>0</v>
      </c>
      <c r="H153" s="6"/>
      <c r="I153" s="6"/>
      <c r="J153" s="6"/>
      <c r="K153" s="6"/>
      <c r="L153" s="6"/>
      <c r="M153" s="6"/>
      <c r="N153" s="62">
        <f t="shared" si="54"/>
        <v>0</v>
      </c>
      <c r="O153" s="63"/>
    </row>
    <row r="154" spans="1:15" s="21" customFormat="1" ht="15" customHeight="1" x14ac:dyDescent="0.15">
      <c r="A154" s="59" t="s">
        <v>20</v>
      </c>
      <c r="B154" s="60" t="s">
        <v>23</v>
      </c>
      <c r="C154" s="166" t="s">
        <v>148</v>
      </c>
      <c r="D154" s="34" t="s">
        <v>7</v>
      </c>
      <c r="E154" s="62">
        <v>12000</v>
      </c>
      <c r="F154" s="62">
        <v>12000</v>
      </c>
      <c r="G154" s="6">
        <f t="shared" si="55"/>
        <v>0</v>
      </c>
      <c r="H154" s="6"/>
      <c r="I154" s="6"/>
      <c r="J154" s="6"/>
      <c r="K154" s="6"/>
      <c r="L154" s="6"/>
      <c r="M154" s="6"/>
      <c r="N154" s="62">
        <f t="shared" si="54"/>
        <v>0</v>
      </c>
      <c r="O154" s="63"/>
    </row>
    <row r="155" spans="1:15" s="21" customFormat="1" ht="15" customHeight="1" x14ac:dyDescent="0.15">
      <c r="A155" s="59" t="s">
        <v>20</v>
      </c>
      <c r="B155" s="60" t="s">
        <v>68</v>
      </c>
      <c r="C155" s="78" t="s">
        <v>217</v>
      </c>
      <c r="D155" s="34" t="s">
        <v>7</v>
      </c>
      <c r="E155" s="6">
        <v>10000</v>
      </c>
      <c r="F155" s="6">
        <f>10000+30000-30000</f>
        <v>10000</v>
      </c>
      <c r="G155" s="6">
        <f t="shared" si="55"/>
        <v>10010.86</v>
      </c>
      <c r="H155" s="6"/>
      <c r="I155" s="6"/>
      <c r="J155" s="6">
        <v>10010.86</v>
      </c>
      <c r="K155" s="6"/>
      <c r="L155" s="6"/>
      <c r="M155" s="6"/>
      <c r="N155" s="62">
        <f t="shared" si="54"/>
        <v>100.1</v>
      </c>
      <c r="O155" s="65"/>
    </row>
    <row r="156" spans="1:15" ht="15" customHeight="1" x14ac:dyDescent="0.15">
      <c r="A156" s="81" t="s">
        <v>20</v>
      </c>
      <c r="B156" s="104" t="s">
        <v>23</v>
      </c>
      <c r="C156" s="265" t="s">
        <v>217</v>
      </c>
      <c r="D156" s="254" t="s">
        <v>7</v>
      </c>
      <c r="E156" s="105"/>
      <c r="F156" s="91">
        <v>30000</v>
      </c>
      <c r="G156" s="255">
        <f t="shared" si="55"/>
        <v>900</v>
      </c>
      <c r="H156" s="105"/>
      <c r="I156" s="105"/>
      <c r="J156" s="105"/>
      <c r="K156" s="105"/>
      <c r="L156" s="105">
        <v>900</v>
      </c>
      <c r="M156" s="66"/>
      <c r="N156" s="260">
        <f t="shared" si="54"/>
        <v>3</v>
      </c>
    </row>
    <row r="157" spans="1:15" ht="15" customHeight="1" x14ac:dyDescent="0.15">
      <c r="A157" s="14" t="s">
        <v>4</v>
      </c>
      <c r="B157" s="170"/>
      <c r="C157" s="129" t="s">
        <v>72</v>
      </c>
      <c r="D157" s="74"/>
      <c r="E157" s="76">
        <f t="shared" ref="E157" si="57">SUM(E158:E159)</f>
        <v>20000</v>
      </c>
      <c r="F157" s="76">
        <f t="shared" ref="F157:M157" si="58">SUM(F158:F159)</f>
        <v>16000</v>
      </c>
      <c r="G157" s="76">
        <f t="shared" si="58"/>
        <v>15300</v>
      </c>
      <c r="H157" s="76">
        <f t="shared" si="58"/>
        <v>0</v>
      </c>
      <c r="I157" s="76">
        <f t="shared" si="58"/>
        <v>0</v>
      </c>
      <c r="J157" s="76">
        <f t="shared" si="58"/>
        <v>0</v>
      </c>
      <c r="K157" s="76">
        <f t="shared" si="58"/>
        <v>0</v>
      </c>
      <c r="L157" s="76">
        <f t="shared" si="58"/>
        <v>0</v>
      </c>
      <c r="M157" s="76">
        <f t="shared" si="58"/>
        <v>15300</v>
      </c>
      <c r="N157" s="76">
        <f t="shared" si="54"/>
        <v>95.6</v>
      </c>
      <c r="O157" s="171"/>
    </row>
    <row r="158" spans="1:15" s="21" customFormat="1" ht="24" customHeight="1" x14ac:dyDescent="0.15">
      <c r="A158" s="59" t="s">
        <v>20</v>
      </c>
      <c r="B158" s="60" t="s">
        <v>68</v>
      </c>
      <c r="C158" s="172" t="s">
        <v>73</v>
      </c>
      <c r="D158" s="34" t="s">
        <v>11</v>
      </c>
      <c r="E158" s="6">
        <v>20000</v>
      </c>
      <c r="F158" s="102">
        <f>20000-4000</f>
        <v>16000</v>
      </c>
      <c r="G158" s="6">
        <f>SUM(H158:M158)</f>
        <v>15300</v>
      </c>
      <c r="H158" s="6"/>
      <c r="I158" s="6"/>
      <c r="J158" s="6"/>
      <c r="K158" s="6"/>
      <c r="L158" s="6"/>
      <c r="M158" s="6">
        <v>15300</v>
      </c>
      <c r="N158" s="62">
        <f t="shared" si="54"/>
        <v>95.6</v>
      </c>
      <c r="O158" s="63"/>
    </row>
    <row r="159" spans="1:15" ht="15" customHeight="1" x14ac:dyDescent="0.15">
      <c r="A159" s="81" t="s">
        <v>25</v>
      </c>
      <c r="B159" s="120"/>
      <c r="C159" s="121"/>
      <c r="D159" s="134"/>
      <c r="E159" s="121"/>
      <c r="F159" s="121"/>
      <c r="G159" s="121"/>
      <c r="H159" s="121"/>
      <c r="I159" s="121"/>
      <c r="J159" s="121"/>
      <c r="K159" s="121"/>
      <c r="L159" s="121"/>
      <c r="M159" s="121"/>
      <c r="N159" s="122"/>
    </row>
    <row r="160" spans="1:15" ht="15" customHeight="1" x14ac:dyDescent="0.15">
      <c r="A160" s="14" t="s">
        <v>4</v>
      </c>
      <c r="B160" s="89"/>
      <c r="C160" s="73" t="s">
        <v>74</v>
      </c>
      <c r="D160" s="74"/>
      <c r="E160" s="76">
        <f>SUM(E161,E167)</f>
        <v>187049</v>
      </c>
      <c r="F160" s="76">
        <f>SUM(F161,F167)</f>
        <v>194049</v>
      </c>
      <c r="G160" s="76">
        <f t="shared" ref="G160:M160" si="59">SUM(G161,G167)</f>
        <v>73441.209999999992</v>
      </c>
      <c r="H160" s="76">
        <f t="shared" si="59"/>
        <v>2058</v>
      </c>
      <c r="I160" s="76">
        <f t="shared" si="59"/>
        <v>1044</v>
      </c>
      <c r="J160" s="76">
        <f t="shared" si="59"/>
        <v>0</v>
      </c>
      <c r="K160" s="76">
        <f t="shared" si="59"/>
        <v>20476.099999999999</v>
      </c>
      <c r="L160" s="76">
        <f t="shared" si="59"/>
        <v>0</v>
      </c>
      <c r="M160" s="76">
        <f t="shared" si="59"/>
        <v>0</v>
      </c>
      <c r="N160" s="76">
        <f t="shared" ref="N160:N169" si="60">ROUND(G160/F160*100,1)</f>
        <v>37.799999999999997</v>
      </c>
      <c r="O160" s="66"/>
    </row>
    <row r="161" spans="1:15" s="21" customFormat="1" ht="15" customHeight="1" x14ac:dyDescent="0.15">
      <c r="A161" s="59" t="s">
        <v>20</v>
      </c>
      <c r="B161" s="60"/>
      <c r="C161" s="173" t="s">
        <v>149</v>
      </c>
      <c r="D161" s="174"/>
      <c r="E161" s="139">
        <f>SUM(E162:E166)</f>
        <v>164000</v>
      </c>
      <c r="F161" s="139">
        <f>SUM(F162:F166)</f>
        <v>164000</v>
      </c>
      <c r="G161" s="139">
        <f>SUM(G162:G166)</f>
        <v>51588.21</v>
      </c>
      <c r="H161" s="139">
        <f t="shared" ref="H161:I161" si="61">SUM(H162:H166)</f>
        <v>2058</v>
      </c>
      <c r="I161" s="139">
        <f t="shared" si="61"/>
        <v>1044</v>
      </c>
      <c r="J161" s="139"/>
      <c r="K161" s="139">
        <f>SUM(K162,K163,K164,K165,K166)</f>
        <v>20476.099999999999</v>
      </c>
      <c r="L161" s="139"/>
      <c r="M161" s="139"/>
      <c r="N161" s="62">
        <f t="shared" si="60"/>
        <v>31.5</v>
      </c>
      <c r="O161" s="63"/>
    </row>
    <row r="162" spans="1:15" s="21" customFormat="1" ht="15" customHeight="1" x14ac:dyDescent="0.15">
      <c r="A162" s="59" t="s">
        <v>20</v>
      </c>
      <c r="B162" s="60" t="s">
        <v>23</v>
      </c>
      <c r="C162" s="197" t="s">
        <v>150</v>
      </c>
      <c r="D162" s="174" t="s">
        <v>7</v>
      </c>
      <c r="E162" s="165">
        <v>100000</v>
      </c>
      <c r="F162" s="165">
        <v>100000</v>
      </c>
      <c r="G162" s="6">
        <f>SUM(H162:M162)</f>
        <v>2500</v>
      </c>
      <c r="H162" s="139"/>
      <c r="I162" s="139"/>
      <c r="J162" s="139"/>
      <c r="K162" s="139"/>
      <c r="L162" s="139">
        <v>2500</v>
      </c>
      <c r="M162" s="139"/>
      <c r="N162" s="62">
        <f t="shared" si="60"/>
        <v>2.5</v>
      </c>
      <c r="O162" s="63"/>
    </row>
    <row r="163" spans="1:15" s="21" customFormat="1" ht="15" customHeight="1" x14ac:dyDescent="0.15">
      <c r="A163" s="59" t="s">
        <v>20</v>
      </c>
      <c r="B163" s="60" t="s">
        <v>68</v>
      </c>
      <c r="C163" s="197" t="s">
        <v>151</v>
      </c>
      <c r="D163" s="174" t="s">
        <v>7</v>
      </c>
      <c r="E163" s="165">
        <v>20000</v>
      </c>
      <c r="F163" s="165">
        <v>20000</v>
      </c>
      <c r="G163" s="6">
        <f>SUM(H163:M163)</f>
        <v>9297.52</v>
      </c>
      <c r="H163" s="139"/>
      <c r="I163" s="139"/>
      <c r="J163" s="139">
        <v>5308.62</v>
      </c>
      <c r="K163" s="139">
        <f>875.9-47</f>
        <v>828.9</v>
      </c>
      <c r="L163" s="139"/>
      <c r="M163" s="139">
        <v>3160</v>
      </c>
      <c r="N163" s="62">
        <f t="shared" si="60"/>
        <v>46.5</v>
      </c>
      <c r="O163" s="63"/>
    </row>
    <row r="164" spans="1:15" s="21" customFormat="1" ht="29.25" customHeight="1" x14ac:dyDescent="0.15">
      <c r="A164" s="59" t="s">
        <v>20</v>
      </c>
      <c r="B164" s="60" t="s">
        <v>68</v>
      </c>
      <c r="C164" s="197" t="s">
        <v>152</v>
      </c>
      <c r="D164" s="174" t="s">
        <v>7</v>
      </c>
      <c r="E164" s="165">
        <v>20000</v>
      </c>
      <c r="F164" s="165">
        <v>20000</v>
      </c>
      <c r="G164" s="6">
        <v>19374.689999999999</v>
      </c>
      <c r="H164" s="139"/>
      <c r="I164" s="139"/>
      <c r="J164" s="139"/>
      <c r="K164" s="139">
        <f>3720.2+47</f>
        <v>3767.2</v>
      </c>
      <c r="L164" s="139"/>
      <c r="M164" s="139">
        <v>12884.84</v>
      </c>
      <c r="N164" s="62">
        <f t="shared" si="60"/>
        <v>96.9</v>
      </c>
      <c r="O164" s="63"/>
    </row>
    <row r="165" spans="1:15" s="21" customFormat="1" ht="24" customHeight="1" x14ac:dyDescent="0.15">
      <c r="A165" s="59" t="s">
        <v>20</v>
      </c>
      <c r="B165" s="60" t="s">
        <v>23</v>
      </c>
      <c r="C165" s="197" t="s">
        <v>153</v>
      </c>
      <c r="D165" s="174" t="s">
        <v>7</v>
      </c>
      <c r="E165" s="165">
        <v>20000</v>
      </c>
      <c r="F165" s="165">
        <v>20000</v>
      </c>
      <c r="G165" s="6">
        <f>SUM(H165:M165)</f>
        <v>17314</v>
      </c>
      <c r="H165" s="139"/>
      <c r="I165" s="139"/>
      <c r="J165" s="139"/>
      <c r="K165" s="139">
        <v>15880</v>
      </c>
      <c r="L165" s="139">
        <v>1434</v>
      </c>
      <c r="M165" s="139"/>
      <c r="N165" s="62">
        <f t="shared" si="60"/>
        <v>86.6</v>
      </c>
      <c r="O165" s="63"/>
    </row>
    <row r="166" spans="1:15" s="21" customFormat="1" ht="15" customHeight="1" x14ac:dyDescent="0.15">
      <c r="A166" s="59" t="s">
        <v>20</v>
      </c>
      <c r="B166" s="60" t="s">
        <v>23</v>
      </c>
      <c r="C166" s="197" t="s">
        <v>154</v>
      </c>
      <c r="D166" s="174" t="s">
        <v>7</v>
      </c>
      <c r="E166" s="165">
        <v>4000</v>
      </c>
      <c r="F166" s="165">
        <v>4000</v>
      </c>
      <c r="G166" s="6">
        <f>SUM(H166:M166)</f>
        <v>3102</v>
      </c>
      <c r="H166" s="139">
        <v>2058</v>
      </c>
      <c r="I166" s="139">
        <v>1044</v>
      </c>
      <c r="J166" s="139"/>
      <c r="K166" s="139"/>
      <c r="L166" s="139"/>
      <c r="M166" s="139"/>
      <c r="N166" s="62">
        <f t="shared" si="60"/>
        <v>77.599999999999994</v>
      </c>
      <c r="O166" s="63"/>
    </row>
    <row r="167" spans="1:15" s="21" customFormat="1" ht="15" customHeight="1" x14ac:dyDescent="0.15">
      <c r="A167" s="59" t="s">
        <v>20</v>
      </c>
      <c r="B167" s="60"/>
      <c r="C167" s="61" t="s">
        <v>75</v>
      </c>
      <c r="D167" s="34"/>
      <c r="E167" s="6">
        <f>SUM(E168:E169)</f>
        <v>23049</v>
      </c>
      <c r="F167" s="6">
        <f>SUM(F168:F169)</f>
        <v>30049</v>
      </c>
      <c r="G167" s="6">
        <f>SUM(G168:G169)</f>
        <v>21853</v>
      </c>
      <c r="H167" s="6">
        <f t="shared" ref="H167" si="62">SUM(H168:H169)</f>
        <v>0</v>
      </c>
      <c r="I167" s="6"/>
      <c r="J167" s="6"/>
      <c r="K167" s="6"/>
      <c r="L167" s="6"/>
      <c r="M167" s="6"/>
      <c r="N167" s="62">
        <f t="shared" si="60"/>
        <v>72.7</v>
      </c>
      <c r="O167" s="65"/>
    </row>
    <row r="168" spans="1:15" s="21" customFormat="1" ht="15" customHeight="1" x14ac:dyDescent="0.15">
      <c r="A168" s="59" t="s">
        <v>20</v>
      </c>
      <c r="B168" s="60" t="s">
        <v>23</v>
      </c>
      <c r="C168" s="179" t="s">
        <v>198</v>
      </c>
      <c r="D168" s="34" t="s">
        <v>7</v>
      </c>
      <c r="E168" s="62">
        <v>11000</v>
      </c>
      <c r="F168" s="62">
        <f>11000+7000</f>
        <v>18000</v>
      </c>
      <c r="G168" s="6">
        <f>SUM(H168:M168)</f>
        <v>9804</v>
      </c>
      <c r="H168" s="6"/>
      <c r="I168" s="6"/>
      <c r="J168" s="6">
        <v>540</v>
      </c>
      <c r="K168" s="6"/>
      <c r="L168" s="6">
        <v>9264</v>
      </c>
      <c r="M168" s="6"/>
      <c r="N168" s="62">
        <f t="shared" si="60"/>
        <v>54.5</v>
      </c>
      <c r="O168" s="65"/>
    </row>
    <row r="169" spans="1:15" s="21" customFormat="1" ht="15" customHeight="1" x14ac:dyDescent="0.15">
      <c r="A169" s="59" t="s">
        <v>20</v>
      </c>
      <c r="B169" s="60" t="s">
        <v>68</v>
      </c>
      <c r="C169" s="179" t="s">
        <v>155</v>
      </c>
      <c r="D169" s="34" t="s">
        <v>7</v>
      </c>
      <c r="E169" s="62">
        <v>12049</v>
      </c>
      <c r="F169" s="62">
        <v>12049</v>
      </c>
      <c r="G169" s="6">
        <f>SUM(H169:M169)</f>
        <v>12049</v>
      </c>
      <c r="H169" s="6"/>
      <c r="I169" s="6"/>
      <c r="J169" s="6">
        <v>12049</v>
      </c>
      <c r="K169" s="6"/>
      <c r="L169" s="6"/>
      <c r="M169" s="6"/>
      <c r="N169" s="62">
        <f t="shared" si="60"/>
        <v>100</v>
      </c>
      <c r="O169" s="65"/>
    </row>
    <row r="170" spans="1:15" ht="15" customHeight="1" x14ac:dyDescent="0.15">
      <c r="A170" s="68" t="s">
        <v>25</v>
      </c>
      <c r="B170" s="104"/>
      <c r="C170" s="105"/>
      <c r="D170" s="106"/>
      <c r="E170" s="105"/>
      <c r="F170" s="105"/>
      <c r="G170" s="105"/>
      <c r="H170" s="105"/>
      <c r="I170" s="105"/>
      <c r="J170" s="105"/>
      <c r="K170" s="105"/>
      <c r="L170" s="105"/>
      <c r="M170" s="105"/>
      <c r="N170" s="107"/>
    </row>
    <row r="171" spans="1:15" ht="15" customHeight="1" x14ac:dyDescent="0.15">
      <c r="A171" s="14" t="s">
        <v>4</v>
      </c>
      <c r="B171" s="89"/>
      <c r="C171" s="73" t="s">
        <v>76</v>
      </c>
      <c r="D171" s="90"/>
      <c r="E171" s="76">
        <f>SUM(E172:E181)</f>
        <v>231100</v>
      </c>
      <c r="F171" s="76">
        <f>SUM(F172:F181)</f>
        <v>298100</v>
      </c>
      <c r="G171" s="76">
        <f t="shared" ref="G171:M171" si="63">SUM(G172:G181)</f>
        <v>76396</v>
      </c>
      <c r="H171" s="76">
        <f t="shared" si="63"/>
        <v>0</v>
      </c>
      <c r="I171" s="76">
        <f t="shared" si="63"/>
        <v>0</v>
      </c>
      <c r="J171" s="76">
        <f t="shared" si="63"/>
        <v>3101</v>
      </c>
      <c r="K171" s="76">
        <f t="shared" si="63"/>
        <v>70294</v>
      </c>
      <c r="L171" s="76">
        <f t="shared" si="63"/>
        <v>1576</v>
      </c>
      <c r="M171" s="76">
        <f t="shared" si="63"/>
        <v>1425</v>
      </c>
      <c r="N171" s="76">
        <f>ROUND(G171/F171*100,1)</f>
        <v>25.6</v>
      </c>
      <c r="O171" s="66"/>
    </row>
    <row r="172" spans="1:15" s="21" customFormat="1" ht="15" customHeight="1" x14ac:dyDescent="0.15">
      <c r="A172" s="59" t="s">
        <v>20</v>
      </c>
      <c r="B172" s="60" t="s">
        <v>23</v>
      </c>
      <c r="C172" s="61" t="s">
        <v>202</v>
      </c>
      <c r="D172" s="34" t="s">
        <v>11</v>
      </c>
      <c r="E172" s="6">
        <v>100000</v>
      </c>
      <c r="F172" s="6">
        <v>100000</v>
      </c>
      <c r="G172" s="6">
        <f t="shared" ref="G172:G180" si="64">SUM(H172:M172)</f>
        <v>0</v>
      </c>
      <c r="H172" s="6"/>
      <c r="I172" s="6"/>
      <c r="J172" s="6"/>
      <c r="K172" s="6"/>
      <c r="L172" s="6"/>
      <c r="M172" s="6"/>
      <c r="N172" s="62">
        <f>ROUND(G172/F172*100,1)</f>
        <v>0</v>
      </c>
      <c r="O172" s="65"/>
    </row>
    <row r="173" spans="1:15" s="21" customFormat="1" ht="15" customHeight="1" x14ac:dyDescent="0.15">
      <c r="A173" s="59" t="s">
        <v>20</v>
      </c>
      <c r="B173" s="60" t="s">
        <v>23</v>
      </c>
      <c r="C173" s="61" t="s">
        <v>203</v>
      </c>
      <c r="D173" s="34" t="s">
        <v>11</v>
      </c>
      <c r="E173" s="6"/>
      <c r="F173" s="6">
        <v>14000</v>
      </c>
      <c r="G173" s="6">
        <f t="shared" si="64"/>
        <v>0</v>
      </c>
      <c r="H173" s="6"/>
      <c r="I173" s="6"/>
      <c r="J173" s="6"/>
      <c r="K173" s="6"/>
      <c r="L173" s="6"/>
      <c r="M173" s="6"/>
      <c r="N173" s="62">
        <f>ROUND(G173/F173*100,1)</f>
        <v>0</v>
      </c>
      <c r="O173" s="65"/>
    </row>
    <row r="174" spans="1:15" s="21" customFormat="1" ht="15" customHeight="1" x14ac:dyDescent="0.15">
      <c r="A174" s="59" t="s">
        <v>20</v>
      </c>
      <c r="B174" s="60" t="s">
        <v>77</v>
      </c>
      <c r="C174" s="80" t="s">
        <v>156</v>
      </c>
      <c r="D174" s="34" t="s">
        <v>11</v>
      </c>
      <c r="E174" s="6">
        <v>60000</v>
      </c>
      <c r="F174" s="6">
        <v>60000</v>
      </c>
      <c r="G174" s="6">
        <f t="shared" si="64"/>
        <v>43996</v>
      </c>
      <c r="H174" s="6"/>
      <c r="I174" s="6"/>
      <c r="J174" s="6">
        <v>3101</v>
      </c>
      <c r="K174" s="6">
        <v>37894</v>
      </c>
      <c r="L174" s="6">
        <v>1576</v>
      </c>
      <c r="M174" s="6">
        <v>1425</v>
      </c>
      <c r="N174" s="62">
        <f>ROUND(G174/F174*100,1)</f>
        <v>73.3</v>
      </c>
      <c r="O174" s="65"/>
    </row>
    <row r="175" spans="1:15" s="21" customFormat="1" ht="27.75" customHeight="1" x14ac:dyDescent="0.15">
      <c r="A175" s="59" t="s">
        <v>20</v>
      </c>
      <c r="B175" s="210" t="s">
        <v>77</v>
      </c>
      <c r="C175" s="244" t="s">
        <v>204</v>
      </c>
      <c r="D175" s="204" t="s">
        <v>9</v>
      </c>
      <c r="E175" s="205"/>
      <c r="F175" s="205"/>
      <c r="G175" s="205">
        <f t="shared" si="64"/>
        <v>32400</v>
      </c>
      <c r="H175" s="205"/>
      <c r="I175" s="205"/>
      <c r="J175" s="205"/>
      <c r="K175" s="205">
        <v>32400</v>
      </c>
      <c r="L175" s="205"/>
      <c r="M175" s="205"/>
      <c r="N175" s="206"/>
      <c r="O175" s="65"/>
    </row>
    <row r="176" spans="1:15" s="21" customFormat="1" ht="15" customHeight="1" x14ac:dyDescent="0.15">
      <c r="A176" s="59" t="s">
        <v>20</v>
      </c>
      <c r="B176" s="60" t="s">
        <v>23</v>
      </c>
      <c r="C176" s="61" t="s">
        <v>157</v>
      </c>
      <c r="D176" s="34" t="s">
        <v>11</v>
      </c>
      <c r="E176" s="6">
        <v>50000</v>
      </c>
      <c r="F176" s="6">
        <v>50000</v>
      </c>
      <c r="G176" s="6">
        <f t="shared" si="64"/>
        <v>0</v>
      </c>
      <c r="H176" s="6"/>
      <c r="I176" s="6"/>
      <c r="J176" s="6"/>
      <c r="K176" s="6"/>
      <c r="L176" s="6"/>
      <c r="M176" s="6"/>
      <c r="N176" s="62">
        <f>ROUND(G176/F176*100,1)</f>
        <v>0</v>
      </c>
      <c r="O176" s="65"/>
    </row>
    <row r="177" spans="1:15" s="21" customFormat="1" ht="15" customHeight="1" x14ac:dyDescent="0.15">
      <c r="A177" s="59" t="s">
        <v>20</v>
      </c>
      <c r="B177" s="60" t="s">
        <v>23</v>
      </c>
      <c r="C177" s="61" t="s">
        <v>158</v>
      </c>
      <c r="D177" s="34" t="s">
        <v>11</v>
      </c>
      <c r="E177" s="6">
        <v>20000</v>
      </c>
      <c r="F177" s="6">
        <v>20000</v>
      </c>
      <c r="G177" s="6">
        <f t="shared" si="64"/>
        <v>0</v>
      </c>
      <c r="H177" s="6"/>
      <c r="I177" s="6"/>
      <c r="J177" s="6"/>
      <c r="K177" s="6"/>
      <c r="L177" s="6"/>
      <c r="M177" s="6"/>
      <c r="N177" s="62">
        <f>ROUND(G177/F177*100,1)</f>
        <v>0</v>
      </c>
      <c r="O177" s="65"/>
    </row>
    <row r="178" spans="1:15" s="21" customFormat="1" ht="15" customHeight="1" x14ac:dyDescent="0.15">
      <c r="A178" s="59" t="s">
        <v>20</v>
      </c>
      <c r="B178" s="60" t="s">
        <v>22</v>
      </c>
      <c r="C178" s="61" t="s">
        <v>227</v>
      </c>
      <c r="D178" s="34" t="s">
        <v>11</v>
      </c>
      <c r="E178" s="6"/>
      <c r="F178" s="6">
        <v>8000</v>
      </c>
      <c r="G178" s="6">
        <f t="shared" si="64"/>
        <v>0</v>
      </c>
      <c r="H178" s="6"/>
      <c r="I178" s="6"/>
      <c r="J178" s="6"/>
      <c r="K178" s="6"/>
      <c r="L178" s="6"/>
      <c r="M178" s="6"/>
      <c r="N178" s="62">
        <f>ROUND(G178/F178*100,1)</f>
        <v>0</v>
      </c>
      <c r="O178" s="65"/>
    </row>
    <row r="179" spans="1:15" s="21" customFormat="1" ht="15" customHeight="1" x14ac:dyDescent="0.15">
      <c r="A179" s="59" t="s">
        <v>218</v>
      </c>
      <c r="B179" s="60" t="s">
        <v>22</v>
      </c>
      <c r="C179" s="61" t="s">
        <v>159</v>
      </c>
      <c r="D179" s="34" t="s">
        <v>7</v>
      </c>
      <c r="E179" s="6"/>
      <c r="F179" s="6">
        <f>1100+10000</f>
        <v>11100</v>
      </c>
      <c r="G179" s="6">
        <f t="shared" si="64"/>
        <v>0</v>
      </c>
      <c r="H179" s="6"/>
      <c r="I179" s="6"/>
      <c r="J179" s="6"/>
      <c r="K179" s="6"/>
      <c r="L179" s="6"/>
      <c r="M179" s="6"/>
      <c r="N179" s="62">
        <f>ROUND(G179/F179*100,1)</f>
        <v>0</v>
      </c>
      <c r="O179" s="65"/>
    </row>
    <row r="180" spans="1:15" s="21" customFormat="1" ht="15" customHeight="1" x14ac:dyDescent="0.15">
      <c r="A180" s="59" t="s">
        <v>20</v>
      </c>
      <c r="B180" s="60" t="s">
        <v>22</v>
      </c>
      <c r="C180" s="233" t="s">
        <v>159</v>
      </c>
      <c r="D180" s="204" t="s">
        <v>9</v>
      </c>
      <c r="E180" s="205">
        <v>1100</v>
      </c>
      <c r="F180" s="205">
        <v>35000</v>
      </c>
      <c r="G180" s="205">
        <f t="shared" si="64"/>
        <v>0</v>
      </c>
      <c r="H180" s="205"/>
      <c r="I180" s="205"/>
      <c r="J180" s="205"/>
      <c r="K180" s="205"/>
      <c r="L180" s="205"/>
      <c r="M180" s="205"/>
      <c r="N180" s="206">
        <f>ROUND(G180/F180*100,1)</f>
        <v>0</v>
      </c>
      <c r="O180" s="65"/>
    </row>
    <row r="181" spans="1:15" ht="15" customHeight="1" x14ac:dyDescent="0.15">
      <c r="A181" s="81" t="s">
        <v>25</v>
      </c>
      <c r="B181" s="120"/>
      <c r="C181" s="121"/>
      <c r="D181" s="134"/>
      <c r="E181" s="121"/>
      <c r="F181" s="121"/>
      <c r="G181" s="121"/>
      <c r="H181" s="121"/>
      <c r="I181" s="121"/>
      <c r="J181" s="121"/>
      <c r="K181" s="121"/>
      <c r="L181" s="121"/>
      <c r="M181" s="121"/>
      <c r="N181" s="122"/>
    </row>
    <row r="182" spans="1:15" ht="15" customHeight="1" x14ac:dyDescent="0.15">
      <c r="A182" s="14" t="s">
        <v>4</v>
      </c>
      <c r="B182" s="170"/>
      <c r="C182" s="73" t="s">
        <v>78</v>
      </c>
      <c r="D182" s="74"/>
      <c r="E182" s="76">
        <f t="shared" ref="E182" si="65">SUM(E183:E184)</f>
        <v>15000</v>
      </c>
      <c r="F182" s="76">
        <f t="shared" ref="F182:M182" si="66">SUM(F183:F184)</f>
        <v>15000</v>
      </c>
      <c r="G182" s="76">
        <f t="shared" si="66"/>
        <v>15000</v>
      </c>
      <c r="H182" s="76">
        <f t="shared" si="66"/>
        <v>0</v>
      </c>
      <c r="I182" s="76">
        <f t="shared" si="66"/>
        <v>0</v>
      </c>
      <c r="J182" s="76">
        <f t="shared" si="66"/>
        <v>15000</v>
      </c>
      <c r="K182" s="76">
        <f t="shared" si="66"/>
        <v>0</v>
      </c>
      <c r="L182" s="76">
        <f t="shared" si="66"/>
        <v>0</v>
      </c>
      <c r="M182" s="76">
        <f t="shared" si="66"/>
        <v>0</v>
      </c>
      <c r="N182" s="76">
        <f>ROUND(G182/F182*100,1)</f>
        <v>100</v>
      </c>
      <c r="O182" s="171"/>
    </row>
    <row r="183" spans="1:15" s="21" customFormat="1" ht="41.25" customHeight="1" x14ac:dyDescent="0.15">
      <c r="A183" s="59" t="s">
        <v>20</v>
      </c>
      <c r="B183" s="266" t="s">
        <v>68</v>
      </c>
      <c r="C183" s="267" t="s">
        <v>160</v>
      </c>
      <c r="D183" s="254" t="s">
        <v>11</v>
      </c>
      <c r="E183" s="255">
        <v>15000</v>
      </c>
      <c r="F183" s="268">
        <v>15000</v>
      </c>
      <c r="G183" s="255">
        <f>SUM(H183:M183)</f>
        <v>15000</v>
      </c>
      <c r="H183" s="255"/>
      <c r="I183" s="255"/>
      <c r="J183" s="255">
        <v>15000</v>
      </c>
      <c r="K183" s="255"/>
      <c r="L183" s="255"/>
      <c r="M183" s="255"/>
      <c r="N183" s="260">
        <f>ROUND(G183/F183*100,1)</f>
        <v>100</v>
      </c>
      <c r="O183" s="63"/>
    </row>
    <row r="184" spans="1:15" ht="15" customHeight="1" x14ac:dyDescent="0.15">
      <c r="A184" s="81" t="s">
        <v>25</v>
      </c>
      <c r="B184" s="269"/>
      <c r="C184" s="270"/>
      <c r="D184" s="271"/>
      <c r="E184" s="270"/>
      <c r="F184" s="270"/>
      <c r="G184" s="272"/>
      <c r="H184" s="270"/>
      <c r="I184" s="270"/>
      <c r="J184" s="270"/>
      <c r="K184" s="270"/>
      <c r="L184" s="270"/>
      <c r="M184" s="270"/>
      <c r="N184" s="273"/>
    </row>
    <row r="185" spans="1:15" ht="15" customHeight="1" x14ac:dyDescent="0.15">
      <c r="A185" s="227"/>
      <c r="B185" s="69"/>
      <c r="C185" s="66" t="s">
        <v>192</v>
      </c>
      <c r="D185" s="70"/>
      <c r="E185" s="66"/>
      <c r="F185" s="155">
        <f>SUM(F186)</f>
        <v>424006</v>
      </c>
      <c r="G185" s="155">
        <f t="shared" ref="G185:M185" si="67">SUM(G186)</f>
        <v>50752</v>
      </c>
      <c r="H185" s="155">
        <f t="shared" si="67"/>
        <v>0</v>
      </c>
      <c r="I185" s="155">
        <f t="shared" si="67"/>
        <v>24576</v>
      </c>
      <c r="J185" s="155">
        <f t="shared" si="67"/>
        <v>1920</v>
      </c>
      <c r="K185" s="155">
        <f t="shared" si="67"/>
        <v>0</v>
      </c>
      <c r="L185" s="155">
        <f t="shared" si="67"/>
        <v>2400</v>
      </c>
      <c r="M185" s="155">
        <f t="shared" si="67"/>
        <v>21856</v>
      </c>
      <c r="N185" s="256">
        <f>ROUND(G185/F185*100,1)</f>
        <v>12</v>
      </c>
    </row>
    <row r="186" spans="1:15" ht="15" customHeight="1" x14ac:dyDescent="0.15">
      <c r="A186" s="227" t="s">
        <v>20</v>
      </c>
      <c r="B186" s="69" t="s">
        <v>23</v>
      </c>
      <c r="C186" s="66" t="s">
        <v>193</v>
      </c>
      <c r="D186" s="70" t="s">
        <v>7</v>
      </c>
      <c r="E186" s="66">
        <v>0</v>
      </c>
      <c r="F186" s="91">
        <f>44006+380000</f>
        <v>424006</v>
      </c>
      <c r="G186" s="6">
        <f>SUM(H186:M186)</f>
        <v>50752</v>
      </c>
      <c r="H186" s="66"/>
      <c r="I186" s="66">
        <v>24576</v>
      </c>
      <c r="J186" s="66">
        <v>1920</v>
      </c>
      <c r="K186" s="66"/>
      <c r="L186" s="66">
        <v>2400</v>
      </c>
      <c r="M186" s="91">
        <v>21856</v>
      </c>
      <c r="N186" s="62">
        <f>ROUND(G186/F186*100,1)</f>
        <v>12</v>
      </c>
    </row>
    <row r="187" spans="1:15" ht="15" customHeight="1" x14ac:dyDescent="0.15">
      <c r="A187" s="227"/>
      <c r="B187" s="69"/>
      <c r="C187" s="66"/>
      <c r="D187" s="70"/>
      <c r="E187" s="66"/>
      <c r="F187" s="66"/>
      <c r="G187" s="66"/>
      <c r="H187" s="66"/>
      <c r="I187" s="66"/>
      <c r="J187" s="66"/>
      <c r="K187" s="66"/>
      <c r="L187" s="66"/>
      <c r="M187" s="66"/>
      <c r="N187" s="260"/>
    </row>
    <row r="188" spans="1:15" s="152" customFormat="1" ht="17.25" customHeight="1" x14ac:dyDescent="0.15">
      <c r="A188" s="43" t="s">
        <v>16</v>
      </c>
      <c r="B188" s="146"/>
      <c r="C188" s="177" t="s">
        <v>79</v>
      </c>
      <c r="D188" s="178"/>
      <c r="E188" s="149">
        <f t="shared" ref="E188:M188" si="68">SUM(E189,E199,E209,E216,E221)</f>
        <v>14843270</v>
      </c>
      <c r="F188" s="149">
        <f t="shared" si="68"/>
        <v>16930054</v>
      </c>
      <c r="G188" s="149">
        <f t="shared" si="68"/>
        <v>7590166.5300000003</v>
      </c>
      <c r="H188" s="149">
        <f t="shared" si="68"/>
        <v>1493705</v>
      </c>
      <c r="I188" s="149">
        <f t="shared" si="68"/>
        <v>855420</v>
      </c>
      <c r="J188" s="149">
        <f t="shared" si="68"/>
        <v>838109.84000000008</v>
      </c>
      <c r="K188" s="149">
        <f t="shared" si="68"/>
        <v>1160784</v>
      </c>
      <c r="L188" s="149">
        <f t="shared" si="68"/>
        <v>761336</v>
      </c>
      <c r="M188" s="149">
        <f t="shared" si="68"/>
        <v>196566</v>
      </c>
      <c r="N188" s="262">
        <f t="shared" ref="N188:N201" si="69">ROUND(G188/F188*100,1)</f>
        <v>44.8</v>
      </c>
      <c r="O188" s="51"/>
    </row>
    <row r="189" spans="1:15" ht="15" customHeight="1" x14ac:dyDescent="0.15">
      <c r="A189" s="14" t="s">
        <v>4</v>
      </c>
      <c r="B189" s="89"/>
      <c r="C189" s="73" t="s">
        <v>81</v>
      </c>
      <c r="D189" s="74"/>
      <c r="E189" s="196">
        <f>SUM(E190:E198)</f>
        <v>1713000</v>
      </c>
      <c r="F189" s="196">
        <f>SUM(F190:F198)</f>
        <v>2482718</v>
      </c>
      <c r="G189" s="196">
        <f>SUM(G190:G198)</f>
        <v>929761</v>
      </c>
      <c r="H189" s="196">
        <f t="shared" ref="H189:M189" si="70">SUM(H190:H198)</f>
        <v>697732</v>
      </c>
      <c r="I189" s="196">
        <f t="shared" si="70"/>
        <v>66315</v>
      </c>
      <c r="J189" s="196">
        <f t="shared" si="70"/>
        <v>54655</v>
      </c>
      <c r="K189" s="196">
        <f t="shared" si="70"/>
        <v>7628</v>
      </c>
      <c r="L189" s="196">
        <f t="shared" si="70"/>
        <v>0</v>
      </c>
      <c r="M189" s="196">
        <f t="shared" si="70"/>
        <v>0</v>
      </c>
      <c r="N189" s="76">
        <f t="shared" si="69"/>
        <v>37.4</v>
      </c>
      <c r="O189" s="66"/>
    </row>
    <row r="190" spans="1:15" s="21" customFormat="1" ht="15" customHeight="1" x14ac:dyDescent="0.15">
      <c r="A190" s="59" t="s">
        <v>20</v>
      </c>
      <c r="B190" s="112" t="s">
        <v>23</v>
      </c>
      <c r="C190" s="61" t="s">
        <v>161</v>
      </c>
      <c r="D190" s="34" t="s">
        <v>7</v>
      </c>
      <c r="E190" s="6">
        <v>700000</v>
      </c>
      <c r="F190" s="6">
        <f>700000+300000</f>
        <v>1000000</v>
      </c>
      <c r="G190" s="6">
        <f>SUM(H190:M190)</f>
        <v>8790</v>
      </c>
      <c r="H190" s="6">
        <v>1162</v>
      </c>
      <c r="I190" s="6"/>
      <c r="J190" s="6"/>
      <c r="K190" s="6">
        <v>7628</v>
      </c>
      <c r="L190" s="6"/>
      <c r="M190" s="6"/>
      <c r="N190" s="62">
        <f t="shared" si="69"/>
        <v>0.9</v>
      </c>
      <c r="O190" s="65"/>
    </row>
    <row r="191" spans="1:15" s="21" customFormat="1" ht="15" customHeight="1" x14ac:dyDescent="0.15">
      <c r="A191" s="59" t="s">
        <v>20</v>
      </c>
      <c r="B191" s="112" t="s">
        <v>23</v>
      </c>
      <c r="C191" s="118" t="s">
        <v>161</v>
      </c>
      <c r="D191" s="29" t="s">
        <v>9</v>
      </c>
      <c r="E191" s="31">
        <v>200000</v>
      </c>
      <c r="F191" s="31">
        <v>200000</v>
      </c>
      <c r="G191" s="205"/>
      <c r="H191" s="31">
        <v>48020</v>
      </c>
      <c r="I191" s="31"/>
      <c r="J191" s="31"/>
      <c r="K191" s="31"/>
      <c r="L191" s="31"/>
      <c r="M191" s="31"/>
      <c r="N191" s="176">
        <f t="shared" si="69"/>
        <v>0</v>
      </c>
      <c r="O191" s="65"/>
    </row>
    <row r="192" spans="1:15" s="21" customFormat="1" ht="15" customHeight="1" x14ac:dyDescent="0.15">
      <c r="A192" s="59" t="s">
        <v>20</v>
      </c>
      <c r="B192" s="112" t="s">
        <v>23</v>
      </c>
      <c r="C192" s="61" t="s">
        <v>162</v>
      </c>
      <c r="D192" s="34" t="s">
        <v>7</v>
      </c>
      <c r="E192" s="6">
        <v>655000</v>
      </c>
      <c r="F192" s="6">
        <v>655000</v>
      </c>
      <c r="G192" s="6">
        <v>656224</v>
      </c>
      <c r="H192" s="6">
        <v>648550</v>
      </c>
      <c r="I192" s="6"/>
      <c r="J192" s="6"/>
      <c r="K192" s="6"/>
      <c r="L192" s="6"/>
      <c r="M192" s="6"/>
      <c r="N192" s="62">
        <f t="shared" si="69"/>
        <v>100.2</v>
      </c>
      <c r="O192" s="65"/>
    </row>
    <row r="193" spans="1:15" s="21" customFormat="1" ht="15" customHeight="1" x14ac:dyDescent="0.15">
      <c r="A193" s="234" t="s">
        <v>20</v>
      </c>
      <c r="B193" s="228" t="s">
        <v>23</v>
      </c>
      <c r="C193" s="233" t="s">
        <v>194</v>
      </c>
      <c r="D193" s="204" t="s">
        <v>9</v>
      </c>
      <c r="E193" s="205">
        <v>0</v>
      </c>
      <c r="F193" s="205">
        <v>108748</v>
      </c>
      <c r="G193" s="205">
        <v>108748</v>
      </c>
      <c r="H193" s="6"/>
      <c r="I193" s="205"/>
      <c r="J193" s="205"/>
      <c r="K193" s="205"/>
      <c r="L193" s="205"/>
      <c r="M193" s="205"/>
      <c r="N193" s="206">
        <f t="shared" si="69"/>
        <v>100</v>
      </c>
      <c r="O193" s="65"/>
    </row>
    <row r="194" spans="1:15" s="21" customFormat="1" ht="15" customHeight="1" x14ac:dyDescent="0.15">
      <c r="A194" s="59" t="s">
        <v>20</v>
      </c>
      <c r="B194" s="112" t="s">
        <v>23</v>
      </c>
      <c r="C194" s="61" t="s">
        <v>163</v>
      </c>
      <c r="D194" s="34" t="s">
        <v>7</v>
      </c>
      <c r="E194" s="6">
        <v>108000</v>
      </c>
      <c r="F194" s="6">
        <v>108000</v>
      </c>
      <c r="G194" s="6">
        <v>35029</v>
      </c>
      <c r="H194" s="6"/>
      <c r="I194" s="6"/>
      <c r="J194" s="6"/>
      <c r="K194" s="6"/>
      <c r="L194" s="6"/>
      <c r="M194" s="6"/>
      <c r="N194" s="62">
        <f t="shared" si="69"/>
        <v>32.4</v>
      </c>
      <c r="O194" s="65"/>
    </row>
    <row r="195" spans="1:15" s="21" customFormat="1" ht="15" customHeight="1" x14ac:dyDescent="0.15">
      <c r="A195" s="59" t="s">
        <v>20</v>
      </c>
      <c r="B195" s="112" t="s">
        <v>23</v>
      </c>
      <c r="C195" s="61" t="s">
        <v>164</v>
      </c>
      <c r="D195" s="34" t="s">
        <v>7</v>
      </c>
      <c r="E195" s="6">
        <v>50000</v>
      </c>
      <c r="F195" s="6">
        <f>50000+35000</f>
        <v>85000</v>
      </c>
      <c r="G195" s="6">
        <f>SUM(H195:M195)</f>
        <v>0</v>
      </c>
      <c r="H195" s="6"/>
      <c r="I195" s="6"/>
      <c r="J195" s="6"/>
      <c r="K195" s="6"/>
      <c r="L195" s="6"/>
      <c r="M195" s="6"/>
      <c r="N195" s="62">
        <f t="shared" si="69"/>
        <v>0</v>
      </c>
      <c r="O195" s="65"/>
    </row>
    <row r="196" spans="1:15" s="21" customFormat="1" ht="15" customHeight="1" x14ac:dyDescent="0.15">
      <c r="A196" s="59" t="s">
        <v>20</v>
      </c>
      <c r="B196" s="112" t="s">
        <v>23</v>
      </c>
      <c r="C196" s="65" t="s">
        <v>199</v>
      </c>
      <c r="D196" s="254" t="s">
        <v>7</v>
      </c>
      <c r="E196" s="88"/>
      <c r="F196" s="88">
        <v>54655</v>
      </c>
      <c r="G196" s="255">
        <v>54655</v>
      </c>
      <c r="H196" s="88"/>
      <c r="I196" s="88"/>
      <c r="J196" s="88">
        <v>54655</v>
      </c>
      <c r="K196" s="88"/>
      <c r="L196" s="88"/>
      <c r="M196" s="88"/>
      <c r="N196" s="260">
        <f t="shared" si="69"/>
        <v>100</v>
      </c>
      <c r="O196" s="65"/>
    </row>
    <row r="197" spans="1:15" s="21" customFormat="1" ht="15" customHeight="1" x14ac:dyDescent="0.15">
      <c r="A197" s="59" t="s">
        <v>20</v>
      </c>
      <c r="B197" s="112" t="s">
        <v>23</v>
      </c>
      <c r="C197" s="233" t="s">
        <v>224</v>
      </c>
      <c r="D197" s="204" t="s">
        <v>9</v>
      </c>
      <c r="E197" s="212"/>
      <c r="F197" s="212">
        <v>25000</v>
      </c>
      <c r="G197" s="205"/>
      <c r="H197" s="212"/>
      <c r="I197" s="212"/>
      <c r="J197" s="212"/>
      <c r="K197" s="212"/>
      <c r="L197" s="212"/>
      <c r="M197" s="212"/>
      <c r="N197" s="206">
        <f t="shared" si="69"/>
        <v>0</v>
      </c>
      <c r="O197" s="65"/>
    </row>
    <row r="198" spans="1:15" ht="15" customHeight="1" x14ac:dyDescent="0.15">
      <c r="A198" s="229" t="s">
        <v>20</v>
      </c>
      <c r="B198" s="230" t="s">
        <v>23</v>
      </c>
      <c r="C198" s="231" t="s">
        <v>191</v>
      </c>
      <c r="D198" s="263" t="s">
        <v>7</v>
      </c>
      <c r="E198" s="231"/>
      <c r="F198" s="191">
        <f>66315+180000</f>
        <v>246315</v>
      </c>
      <c r="G198" s="264">
        <f>SUM(H198:M198)</f>
        <v>66315</v>
      </c>
      <c r="H198" s="105"/>
      <c r="I198" s="191">
        <v>66315</v>
      </c>
      <c r="J198" s="105"/>
      <c r="K198" s="105"/>
      <c r="L198" s="66"/>
      <c r="M198" s="66"/>
      <c r="N198" s="207">
        <f t="shared" si="69"/>
        <v>26.9</v>
      </c>
      <c r="O198" s="88"/>
    </row>
    <row r="199" spans="1:15" ht="15" customHeight="1" x14ac:dyDescent="0.15">
      <c r="A199" s="14" t="s">
        <v>4</v>
      </c>
      <c r="B199" s="89"/>
      <c r="C199" s="73" t="s">
        <v>165</v>
      </c>
      <c r="D199" s="90"/>
      <c r="E199" s="196">
        <f>SUM(E200:E207)</f>
        <v>11435000</v>
      </c>
      <c r="F199" s="196">
        <f>SUM(F200:F208)</f>
        <v>12018583</v>
      </c>
      <c r="G199" s="196">
        <f>SUM(G200:G207)</f>
        <v>5244355</v>
      </c>
      <c r="H199" s="196">
        <f t="shared" ref="H199:M199" si="71">SUM(H200:H207)</f>
        <v>768782</v>
      </c>
      <c r="I199" s="196">
        <f t="shared" si="71"/>
        <v>431978</v>
      </c>
      <c r="J199" s="196">
        <f t="shared" si="71"/>
        <v>225659</v>
      </c>
      <c r="K199" s="196">
        <f t="shared" si="71"/>
        <v>1135531</v>
      </c>
      <c r="L199" s="196">
        <f t="shared" si="71"/>
        <v>406269</v>
      </c>
      <c r="M199" s="196">
        <f t="shared" si="71"/>
        <v>173094</v>
      </c>
      <c r="N199" s="258">
        <f t="shared" si="69"/>
        <v>43.6</v>
      </c>
      <c r="O199" s="88"/>
    </row>
    <row r="200" spans="1:15" s="32" customFormat="1" ht="15" customHeight="1" x14ac:dyDescent="0.15">
      <c r="A200" s="59" t="s">
        <v>20</v>
      </c>
      <c r="B200" s="60" t="s">
        <v>23</v>
      </c>
      <c r="C200" s="99" t="s">
        <v>170</v>
      </c>
      <c r="D200" s="34" t="s">
        <v>7</v>
      </c>
      <c r="E200" s="139">
        <v>6980000</v>
      </c>
      <c r="F200" s="139">
        <v>6980000</v>
      </c>
      <c r="G200" s="133">
        <v>3219798</v>
      </c>
      <c r="H200" s="165">
        <v>562858</v>
      </c>
      <c r="I200" s="165">
        <v>185975</v>
      </c>
      <c r="J200" s="165">
        <v>218659</v>
      </c>
      <c r="K200" s="165">
        <v>405136</v>
      </c>
      <c r="L200" s="165">
        <v>377881</v>
      </c>
      <c r="M200" s="165">
        <v>1943</v>
      </c>
      <c r="N200" s="159">
        <f t="shared" si="69"/>
        <v>46.1</v>
      </c>
      <c r="O200" s="88"/>
    </row>
    <row r="201" spans="1:15" s="32" customFormat="1" ht="15" customHeight="1" x14ac:dyDescent="0.15">
      <c r="A201" s="59" t="s">
        <v>20</v>
      </c>
      <c r="B201" s="60" t="s">
        <v>23</v>
      </c>
      <c r="C201" s="100" t="s">
        <v>170</v>
      </c>
      <c r="D201" s="29" t="s">
        <v>9</v>
      </c>
      <c r="E201" s="144">
        <v>2000000</v>
      </c>
      <c r="F201" s="144">
        <v>2000000</v>
      </c>
      <c r="G201" s="224">
        <v>1478367</v>
      </c>
      <c r="H201" s="180">
        <v>136679</v>
      </c>
      <c r="I201" s="180"/>
      <c r="J201" s="180"/>
      <c r="K201" s="180">
        <v>637323</v>
      </c>
      <c r="L201" s="180"/>
      <c r="M201" s="180"/>
      <c r="N201" s="257">
        <f t="shared" si="69"/>
        <v>73.900000000000006</v>
      </c>
      <c r="O201" s="88"/>
    </row>
    <row r="202" spans="1:15" s="32" customFormat="1" ht="15" customHeight="1" x14ac:dyDescent="0.15">
      <c r="A202" s="59" t="s">
        <v>20</v>
      </c>
      <c r="B202" s="60" t="s">
        <v>23</v>
      </c>
      <c r="C202" s="99" t="s">
        <v>166</v>
      </c>
      <c r="D202" s="34" t="s">
        <v>7</v>
      </c>
      <c r="E202" s="139">
        <v>1980000</v>
      </c>
      <c r="F202" s="139">
        <v>2034880</v>
      </c>
      <c r="G202" s="6">
        <f>SUM(H202:M202)</f>
        <v>188832</v>
      </c>
      <c r="H202" s="165"/>
      <c r="I202" s="165">
        <v>90240</v>
      </c>
      <c r="J202" s="165">
        <v>3000</v>
      </c>
      <c r="K202" s="165">
        <v>93072</v>
      </c>
      <c r="L202" s="165">
        <v>2520</v>
      </c>
      <c r="M202" s="165"/>
      <c r="N202" s="62">
        <f t="shared" ref="N202:N208" si="72">ROUND(G202/F202*100,1)</f>
        <v>9.3000000000000007</v>
      </c>
      <c r="O202" s="88"/>
    </row>
    <row r="203" spans="1:15" s="32" customFormat="1" ht="15" customHeight="1" x14ac:dyDescent="0.15">
      <c r="A203" s="59" t="s">
        <v>20</v>
      </c>
      <c r="B203" s="60" t="s">
        <v>23</v>
      </c>
      <c r="C203" s="99" t="s">
        <v>167</v>
      </c>
      <c r="D203" s="34" t="s">
        <v>7</v>
      </c>
      <c r="E203" s="139">
        <v>300000</v>
      </c>
      <c r="F203" s="139">
        <f>300000+20000</f>
        <v>320000</v>
      </c>
      <c r="G203" s="6">
        <f>SUM(H203:M203)</f>
        <v>118136</v>
      </c>
      <c r="H203" s="165"/>
      <c r="I203" s="165"/>
      <c r="J203" s="165"/>
      <c r="K203" s="165"/>
      <c r="L203" s="165">
        <v>25868</v>
      </c>
      <c r="M203" s="165">
        <v>92268</v>
      </c>
      <c r="N203" s="62">
        <f t="shared" si="72"/>
        <v>36.9</v>
      </c>
      <c r="O203" s="88"/>
    </row>
    <row r="204" spans="1:15" s="32" customFormat="1" ht="15" customHeight="1" x14ac:dyDescent="0.15">
      <c r="A204" s="59" t="s">
        <v>20</v>
      </c>
      <c r="B204" s="60" t="s">
        <v>23</v>
      </c>
      <c r="C204" s="99" t="s">
        <v>168</v>
      </c>
      <c r="D204" s="34" t="s">
        <v>7</v>
      </c>
      <c r="E204" s="139">
        <v>130000</v>
      </c>
      <c r="F204" s="139">
        <f>130000+55703</f>
        <v>185703</v>
      </c>
      <c r="G204" s="6">
        <v>55229</v>
      </c>
      <c r="H204" s="165">
        <v>69245</v>
      </c>
      <c r="I204" s="165"/>
      <c r="J204" s="165">
        <v>4000</v>
      </c>
      <c r="K204" s="165"/>
      <c r="L204" s="165"/>
      <c r="M204" s="165">
        <v>51229</v>
      </c>
      <c r="N204" s="62">
        <f t="shared" si="72"/>
        <v>29.7</v>
      </c>
      <c r="O204" s="88"/>
    </row>
    <row r="205" spans="1:15" s="32" customFormat="1" ht="15" customHeight="1" x14ac:dyDescent="0.15">
      <c r="A205" s="59" t="s">
        <v>20</v>
      </c>
      <c r="B205" s="60" t="s">
        <v>23</v>
      </c>
      <c r="C205" s="99" t="s">
        <v>195</v>
      </c>
      <c r="D205" s="34" t="s">
        <v>7</v>
      </c>
      <c r="E205" s="139"/>
      <c r="F205" s="139">
        <v>179000</v>
      </c>
      <c r="G205" s="6">
        <f>SUM(H205:M205)</f>
        <v>155763</v>
      </c>
      <c r="H205" s="165"/>
      <c r="I205" s="139">
        <v>155763</v>
      </c>
      <c r="J205" s="165"/>
      <c r="K205" s="165"/>
      <c r="L205" s="165"/>
      <c r="M205" s="165"/>
      <c r="N205" s="62">
        <f t="shared" si="72"/>
        <v>87</v>
      </c>
      <c r="O205" s="88"/>
    </row>
    <row r="206" spans="1:15" s="32" customFormat="1" ht="15" customHeight="1" x14ac:dyDescent="0.15">
      <c r="A206" s="59" t="s">
        <v>20</v>
      </c>
      <c r="B206" s="60" t="s">
        <v>23</v>
      </c>
      <c r="C206" s="99" t="s">
        <v>223</v>
      </c>
      <c r="D206" s="34" t="s">
        <v>7</v>
      </c>
      <c r="E206" s="139"/>
      <c r="F206" s="139">
        <v>170000</v>
      </c>
      <c r="G206" s="6">
        <f>SUM(H206:M206)</f>
        <v>27654</v>
      </c>
      <c r="H206" s="165"/>
      <c r="I206" s="139"/>
      <c r="J206" s="165"/>
      <c r="K206" s="165"/>
      <c r="L206" s="165"/>
      <c r="M206" s="165">
        <v>27654</v>
      </c>
      <c r="N206" s="62">
        <f t="shared" si="72"/>
        <v>16.3</v>
      </c>
      <c r="O206" s="88"/>
    </row>
    <row r="207" spans="1:15" s="32" customFormat="1" ht="15" customHeight="1" x14ac:dyDescent="0.15">
      <c r="A207" s="59" t="s">
        <v>20</v>
      </c>
      <c r="B207" s="60" t="s">
        <v>23</v>
      </c>
      <c r="C207" s="99" t="s">
        <v>169</v>
      </c>
      <c r="D207" s="34" t="s">
        <v>7</v>
      </c>
      <c r="E207" s="139">
        <v>45000</v>
      </c>
      <c r="F207" s="139">
        <v>145000</v>
      </c>
      <c r="G207" s="6">
        <v>576</v>
      </c>
      <c r="H207" s="165"/>
      <c r="I207" s="165"/>
      <c r="J207" s="165"/>
      <c r="K207" s="165"/>
      <c r="L207" s="165"/>
      <c r="M207" s="165"/>
      <c r="N207" s="62">
        <f t="shared" si="72"/>
        <v>0.4</v>
      </c>
      <c r="O207" s="88"/>
    </row>
    <row r="208" spans="1:15" ht="15" customHeight="1" x14ac:dyDescent="0.15">
      <c r="A208" s="59" t="s">
        <v>20</v>
      </c>
      <c r="B208" s="69" t="s">
        <v>29</v>
      </c>
      <c r="C208" s="66" t="s">
        <v>229</v>
      </c>
      <c r="D208" s="34" t="s">
        <v>7</v>
      </c>
      <c r="E208" s="195"/>
      <c r="F208" s="195">
        <v>4000</v>
      </c>
      <c r="G208" s="195"/>
      <c r="H208" s="195"/>
      <c r="I208" s="195"/>
      <c r="J208" s="195"/>
      <c r="K208" s="195"/>
      <c r="L208" s="195"/>
      <c r="M208" s="195"/>
      <c r="N208" s="62">
        <f t="shared" si="72"/>
        <v>0</v>
      </c>
      <c r="O208" s="66"/>
    </row>
    <row r="209" spans="1:15" ht="15" customHeight="1" x14ac:dyDescent="0.15">
      <c r="A209" s="14" t="s">
        <v>4</v>
      </c>
      <c r="B209" s="89"/>
      <c r="C209" s="73" t="s">
        <v>82</v>
      </c>
      <c r="D209" s="90"/>
      <c r="E209" s="76">
        <f t="shared" ref="E209:M209" si="73">SUM(E210:E215)</f>
        <v>690270</v>
      </c>
      <c r="F209" s="76">
        <f t="shared" si="73"/>
        <v>1208270</v>
      </c>
      <c r="G209" s="76">
        <f t="shared" si="73"/>
        <v>877624.52999999991</v>
      </c>
      <c r="H209" s="76">
        <f t="shared" si="73"/>
        <v>1740</v>
      </c>
      <c r="I209" s="76">
        <f t="shared" si="73"/>
        <v>344555</v>
      </c>
      <c r="J209" s="76">
        <f t="shared" si="73"/>
        <v>454419.84</v>
      </c>
      <c r="K209" s="76">
        <f t="shared" si="73"/>
        <v>2100</v>
      </c>
      <c r="L209" s="76">
        <f t="shared" si="73"/>
        <v>0</v>
      </c>
      <c r="M209" s="76">
        <f t="shared" si="73"/>
        <v>9978</v>
      </c>
      <c r="N209" s="76">
        <f t="shared" ref="N209:N214" si="74">ROUND(G209/F209*100,1)</f>
        <v>72.599999999999994</v>
      </c>
    </row>
    <row r="210" spans="1:15" ht="15" customHeight="1" x14ac:dyDescent="0.15">
      <c r="A210" s="192" t="s">
        <v>20</v>
      </c>
      <c r="B210" s="112" t="s">
        <v>23</v>
      </c>
      <c r="C210" s="99" t="s">
        <v>171</v>
      </c>
      <c r="D210" s="34" t="s">
        <v>7</v>
      </c>
      <c r="E210" s="102">
        <v>450000</v>
      </c>
      <c r="F210" s="102">
        <v>450000</v>
      </c>
      <c r="G210" s="6">
        <f>SUM(H210:M210)</f>
        <v>406883</v>
      </c>
      <c r="H210" s="193"/>
      <c r="I210" s="226">
        <v>249825</v>
      </c>
      <c r="J210" s="226">
        <v>147080</v>
      </c>
      <c r="K210" s="193"/>
      <c r="L210" s="193"/>
      <c r="M210" s="226">
        <v>9978</v>
      </c>
      <c r="N210" s="159">
        <f t="shared" si="74"/>
        <v>90.4</v>
      </c>
    </row>
    <row r="211" spans="1:15" ht="15" customHeight="1" x14ac:dyDescent="0.15">
      <c r="A211" s="192" t="s">
        <v>20</v>
      </c>
      <c r="B211" s="112" t="s">
        <v>23</v>
      </c>
      <c r="C211" s="221" t="s">
        <v>171</v>
      </c>
      <c r="D211" s="204" t="s">
        <v>9</v>
      </c>
      <c r="E211" s="205"/>
      <c r="F211" s="205">
        <v>100000</v>
      </c>
      <c r="G211" s="205">
        <f>SUM(H211:M211)</f>
        <v>95770</v>
      </c>
      <c r="H211" s="225">
        <v>1740</v>
      </c>
      <c r="I211" s="225">
        <v>94030</v>
      </c>
      <c r="J211" s="225"/>
      <c r="K211" s="225"/>
      <c r="L211" s="225"/>
      <c r="M211" s="225"/>
      <c r="N211" s="206">
        <f t="shared" si="74"/>
        <v>95.8</v>
      </c>
    </row>
    <row r="212" spans="1:15" ht="15" customHeight="1" x14ac:dyDescent="0.15">
      <c r="A212" s="192" t="s">
        <v>20</v>
      </c>
      <c r="B212" s="112" t="s">
        <v>29</v>
      </c>
      <c r="C212" s="101" t="s">
        <v>200</v>
      </c>
      <c r="D212" s="114" t="s">
        <v>7</v>
      </c>
      <c r="E212" s="102"/>
      <c r="F212" s="102">
        <v>318000</v>
      </c>
      <c r="G212" s="102">
        <v>95951.08</v>
      </c>
      <c r="H212" s="226"/>
      <c r="I212" s="226"/>
      <c r="J212" s="226">
        <v>35319.699999999997</v>
      </c>
      <c r="K212" s="226"/>
      <c r="L212" s="226"/>
      <c r="M212" s="226"/>
      <c r="N212" s="159">
        <f t="shared" si="74"/>
        <v>30.2</v>
      </c>
    </row>
    <row r="213" spans="1:15" ht="15" customHeight="1" x14ac:dyDescent="0.15">
      <c r="A213" s="192" t="s">
        <v>20</v>
      </c>
      <c r="B213" s="112" t="s">
        <v>29</v>
      </c>
      <c r="C213" s="221" t="s">
        <v>171</v>
      </c>
      <c r="D213" s="204" t="s">
        <v>7</v>
      </c>
      <c r="E213" s="205"/>
      <c r="F213" s="205">
        <v>100000</v>
      </c>
      <c r="G213" s="205">
        <v>38750.449999999997</v>
      </c>
      <c r="H213" s="225"/>
      <c r="I213" s="225">
        <v>700</v>
      </c>
      <c r="J213" s="225">
        <v>31750.14</v>
      </c>
      <c r="K213" s="225">
        <v>2100</v>
      </c>
      <c r="L213" s="225"/>
      <c r="M213" s="225"/>
      <c r="N213" s="206">
        <f t="shared" si="74"/>
        <v>38.799999999999997</v>
      </c>
    </row>
    <row r="214" spans="1:15" s="32" customFormat="1" ht="15" customHeight="1" x14ac:dyDescent="0.15">
      <c r="A214" s="59" t="s">
        <v>20</v>
      </c>
      <c r="B214" s="60" t="s">
        <v>29</v>
      </c>
      <c r="C214" s="221" t="s">
        <v>172</v>
      </c>
      <c r="D214" s="204" t="s">
        <v>9</v>
      </c>
      <c r="E214" s="224">
        <v>240270</v>
      </c>
      <c r="F214" s="224">
        <v>240270</v>
      </c>
      <c r="G214" s="205">
        <f>SUM(H214:M214)</f>
        <v>240270</v>
      </c>
      <c r="H214" s="245"/>
      <c r="I214" s="245"/>
      <c r="J214" s="245">
        <v>240270</v>
      </c>
      <c r="K214" s="245"/>
      <c r="L214" s="245"/>
      <c r="M214" s="245"/>
      <c r="N214" s="206">
        <f t="shared" si="74"/>
        <v>100</v>
      </c>
      <c r="O214" s="88"/>
    </row>
    <row r="215" spans="1:15" ht="15" customHeight="1" x14ac:dyDescent="0.15">
      <c r="A215" s="81"/>
      <c r="B215" s="82"/>
      <c r="C215" s="10"/>
      <c r="D215" s="83"/>
      <c r="E215" s="10"/>
      <c r="F215" s="10"/>
      <c r="G215" s="10"/>
      <c r="H215" s="10"/>
      <c r="I215" s="10"/>
      <c r="J215" s="10"/>
      <c r="K215" s="10"/>
      <c r="L215" s="10"/>
      <c r="M215" s="10"/>
      <c r="N215" s="247"/>
    </row>
    <row r="216" spans="1:15" ht="15" customHeight="1" x14ac:dyDescent="0.15">
      <c r="A216" s="14"/>
      <c r="B216" s="89"/>
      <c r="C216" s="73" t="s">
        <v>83</v>
      </c>
      <c r="D216" s="74"/>
      <c r="E216" s="76">
        <f>SUM(E217:E219)</f>
        <v>110000</v>
      </c>
      <c r="F216" s="76">
        <f>SUM(F217:F219)</f>
        <v>110000</v>
      </c>
      <c r="G216" s="76">
        <f t="shared" ref="G216:M216" si="75">SUM(G217:G219)</f>
        <v>2832</v>
      </c>
      <c r="H216" s="76">
        <f t="shared" si="75"/>
        <v>0</v>
      </c>
      <c r="I216" s="76">
        <f t="shared" si="75"/>
        <v>0</v>
      </c>
      <c r="J216" s="76">
        <f t="shared" si="75"/>
        <v>0</v>
      </c>
      <c r="K216" s="76">
        <f t="shared" si="75"/>
        <v>0</v>
      </c>
      <c r="L216" s="76">
        <f t="shared" si="75"/>
        <v>360</v>
      </c>
      <c r="M216" s="76">
        <f t="shared" si="75"/>
        <v>2472</v>
      </c>
      <c r="N216" s="76">
        <f>ROUND(G216/F216*100,1)</f>
        <v>2.6</v>
      </c>
      <c r="O216" s="66"/>
    </row>
    <row r="217" spans="1:15" s="21" customFormat="1" ht="21" customHeight="1" x14ac:dyDescent="0.15">
      <c r="A217" s="59" t="s">
        <v>20</v>
      </c>
      <c r="B217" s="181" t="s">
        <v>23</v>
      </c>
      <c r="C217" s="80" t="s">
        <v>173</v>
      </c>
      <c r="D217" s="34" t="s">
        <v>7</v>
      </c>
      <c r="E217" s="6">
        <v>80000</v>
      </c>
      <c r="F217" s="6">
        <v>80000</v>
      </c>
      <c r="G217" s="6">
        <f>SUM(H217:M217)</f>
        <v>2832</v>
      </c>
      <c r="H217" s="6"/>
      <c r="I217" s="6"/>
      <c r="J217" s="6"/>
      <c r="K217" s="6"/>
      <c r="L217" s="6">
        <v>360</v>
      </c>
      <c r="M217" s="6">
        <v>2472</v>
      </c>
      <c r="N217" s="62">
        <f>ROUND(G217/F217*100,1)</f>
        <v>3.5</v>
      </c>
      <c r="O217" s="63"/>
    </row>
    <row r="218" spans="1:15" s="21" customFormat="1" ht="15" customHeight="1" x14ac:dyDescent="0.15">
      <c r="A218" s="59" t="s">
        <v>20</v>
      </c>
      <c r="B218" s="181" t="s">
        <v>23</v>
      </c>
      <c r="C218" s="80" t="s">
        <v>174</v>
      </c>
      <c r="D218" s="34" t="s">
        <v>7</v>
      </c>
      <c r="E218" s="6">
        <v>30000</v>
      </c>
      <c r="F218" s="6">
        <v>30000</v>
      </c>
      <c r="G218" s="6">
        <f>SUM(H218:M218)</f>
        <v>0</v>
      </c>
      <c r="H218" s="6"/>
      <c r="I218" s="6"/>
      <c r="J218" s="6"/>
      <c r="K218" s="6"/>
      <c r="L218" s="6"/>
      <c r="M218" s="6"/>
      <c r="N218" s="62">
        <f>ROUND(G218/F218*100,1)</f>
        <v>0</v>
      </c>
      <c r="O218" s="63"/>
    </row>
    <row r="219" spans="1:15" ht="12.75" customHeight="1" x14ac:dyDescent="0.15">
      <c r="A219" s="81" t="s">
        <v>25</v>
      </c>
      <c r="B219" s="120"/>
      <c r="C219" s="121"/>
      <c r="D219" s="134"/>
      <c r="E219" s="121"/>
      <c r="F219" s="121"/>
      <c r="G219" s="121"/>
      <c r="H219" s="121"/>
      <c r="I219" s="121"/>
      <c r="J219" s="121"/>
      <c r="K219" s="121"/>
      <c r="L219" s="121"/>
      <c r="M219" s="121"/>
      <c r="N219" s="122"/>
    </row>
    <row r="220" spans="1:15" ht="15.75" customHeight="1" x14ac:dyDescent="0.15">
      <c r="A220" s="68"/>
      <c r="B220" s="69"/>
      <c r="C220" s="66"/>
      <c r="D220" s="70"/>
      <c r="E220" s="91"/>
      <c r="F220" s="91"/>
      <c r="G220" s="6"/>
      <c r="H220" s="66"/>
      <c r="I220" s="66"/>
      <c r="J220" s="66"/>
      <c r="K220" s="66"/>
      <c r="L220" s="66"/>
      <c r="M220" s="66"/>
      <c r="N220" s="71"/>
    </row>
    <row r="221" spans="1:15" ht="15" customHeight="1" x14ac:dyDescent="0.15">
      <c r="A221" s="14" t="s">
        <v>4</v>
      </c>
      <c r="B221" s="89"/>
      <c r="C221" s="73" t="s">
        <v>84</v>
      </c>
      <c r="D221" s="90"/>
      <c r="E221" s="76">
        <f t="shared" ref="E221:M221" si="76">SUM(E222:E228)</f>
        <v>895000</v>
      </c>
      <c r="F221" s="76">
        <f t="shared" si="76"/>
        <v>1110483</v>
      </c>
      <c r="G221" s="76">
        <f t="shared" si="76"/>
        <v>535594</v>
      </c>
      <c r="H221" s="76">
        <f t="shared" si="76"/>
        <v>25451</v>
      </c>
      <c r="I221" s="76">
        <f t="shared" si="76"/>
        <v>12572</v>
      </c>
      <c r="J221" s="76">
        <f t="shared" si="76"/>
        <v>103376</v>
      </c>
      <c r="K221" s="76">
        <f t="shared" si="76"/>
        <v>15525</v>
      </c>
      <c r="L221" s="76">
        <f t="shared" si="76"/>
        <v>354707</v>
      </c>
      <c r="M221" s="76">
        <f t="shared" si="76"/>
        <v>11022</v>
      </c>
      <c r="N221" s="76">
        <f t="shared" ref="N221:N227" si="77">ROUND(G221/F221*100,1)</f>
        <v>48.2</v>
      </c>
      <c r="O221" s="66"/>
    </row>
    <row r="222" spans="1:15" s="21" customFormat="1" ht="15" customHeight="1" x14ac:dyDescent="0.15">
      <c r="A222" s="59" t="s">
        <v>20</v>
      </c>
      <c r="B222" s="60" t="s">
        <v>23</v>
      </c>
      <c r="C222" s="61" t="s">
        <v>175</v>
      </c>
      <c r="D222" s="34" t="s">
        <v>7</v>
      </c>
      <c r="E222" s="6">
        <v>345000</v>
      </c>
      <c r="F222" s="6">
        <v>345000</v>
      </c>
      <c r="G222" s="6">
        <f t="shared" ref="G222:G227" si="78">SUM(H222:M222)</f>
        <v>343357</v>
      </c>
      <c r="H222" s="6">
        <v>5142</v>
      </c>
      <c r="I222" s="6"/>
      <c r="J222" s="6"/>
      <c r="K222" s="6"/>
      <c r="L222" s="6">
        <v>334657</v>
      </c>
      <c r="M222" s="6">
        <v>3558</v>
      </c>
      <c r="N222" s="62">
        <f t="shared" si="77"/>
        <v>99.5</v>
      </c>
      <c r="O222" s="65"/>
    </row>
    <row r="223" spans="1:15" s="21" customFormat="1" ht="15" customHeight="1" x14ac:dyDescent="0.15">
      <c r="A223" s="59" t="s">
        <v>20</v>
      </c>
      <c r="B223" s="60" t="s">
        <v>23</v>
      </c>
      <c r="C223" s="61" t="s">
        <v>176</v>
      </c>
      <c r="D223" s="34" t="s">
        <v>7</v>
      </c>
      <c r="E223" s="6">
        <v>150000</v>
      </c>
      <c r="F223" s="6">
        <f>150000+10483+115000</f>
        <v>275483</v>
      </c>
      <c r="G223" s="6">
        <f t="shared" si="78"/>
        <v>21837</v>
      </c>
      <c r="H223" s="6">
        <v>16020</v>
      </c>
      <c r="I223" s="6"/>
      <c r="J223" s="6"/>
      <c r="K223" s="6">
        <v>3240</v>
      </c>
      <c r="L223" s="6">
        <v>2577</v>
      </c>
      <c r="M223" s="6"/>
      <c r="N223" s="62">
        <f t="shared" si="77"/>
        <v>7.9</v>
      </c>
      <c r="O223" s="65"/>
    </row>
    <row r="224" spans="1:15" s="21" customFormat="1" ht="15" customHeight="1" x14ac:dyDescent="0.15">
      <c r="A224" s="59" t="s">
        <v>20</v>
      </c>
      <c r="B224" s="60" t="s">
        <v>23</v>
      </c>
      <c r="C224" s="61" t="s">
        <v>177</v>
      </c>
      <c r="D224" s="34" t="s">
        <v>7</v>
      </c>
      <c r="E224" s="6">
        <v>100000</v>
      </c>
      <c r="F224" s="6">
        <f>100000+90000</f>
        <v>190000</v>
      </c>
      <c r="G224" s="6">
        <v>112553</v>
      </c>
      <c r="H224" s="6">
        <v>2016</v>
      </c>
      <c r="I224" s="6">
        <v>5996</v>
      </c>
      <c r="J224" s="6">
        <v>100508</v>
      </c>
      <c r="K224" s="6">
        <v>1963</v>
      </c>
      <c r="L224" s="6">
        <v>1165</v>
      </c>
      <c r="M224" s="6"/>
      <c r="N224" s="62">
        <f t="shared" si="77"/>
        <v>59.2</v>
      </c>
      <c r="O224" s="65"/>
    </row>
    <row r="225" spans="1:15" s="21" customFormat="1" ht="15" customHeight="1" x14ac:dyDescent="0.15">
      <c r="A225" s="59" t="s">
        <v>20</v>
      </c>
      <c r="B225" s="60" t="s">
        <v>23</v>
      </c>
      <c r="C225" s="61" t="s">
        <v>178</v>
      </c>
      <c r="D225" s="34" t="s">
        <v>7</v>
      </c>
      <c r="E225" s="6">
        <v>100000</v>
      </c>
      <c r="F225" s="6">
        <v>100000</v>
      </c>
      <c r="G225" s="6">
        <v>50383</v>
      </c>
      <c r="H225" s="6">
        <v>2273</v>
      </c>
      <c r="I225" s="6">
        <v>6576</v>
      </c>
      <c r="J225" s="6">
        <v>2868</v>
      </c>
      <c r="K225" s="6">
        <v>10322</v>
      </c>
      <c r="L225" s="6">
        <v>16308</v>
      </c>
      <c r="M225" s="6"/>
      <c r="N225" s="62">
        <f t="shared" si="77"/>
        <v>50.4</v>
      </c>
      <c r="O225" s="65"/>
    </row>
    <row r="226" spans="1:15" s="21" customFormat="1" ht="15" customHeight="1" x14ac:dyDescent="0.15">
      <c r="A226" s="59" t="s">
        <v>20</v>
      </c>
      <c r="B226" s="60" t="s">
        <v>23</v>
      </c>
      <c r="C226" s="182" t="s">
        <v>179</v>
      </c>
      <c r="D226" s="183" t="s">
        <v>7</v>
      </c>
      <c r="E226" s="133">
        <v>100000</v>
      </c>
      <c r="F226" s="133">
        <v>100000</v>
      </c>
      <c r="G226" s="6">
        <f t="shared" si="78"/>
        <v>7464</v>
      </c>
      <c r="H226" s="133"/>
      <c r="I226" s="133"/>
      <c r="J226" s="133"/>
      <c r="K226" s="133"/>
      <c r="L226" s="133"/>
      <c r="M226" s="133">
        <v>7464</v>
      </c>
      <c r="N226" s="62">
        <f t="shared" si="77"/>
        <v>7.5</v>
      </c>
      <c r="O226" s="65"/>
    </row>
    <row r="227" spans="1:15" s="21" customFormat="1" ht="15" customHeight="1" x14ac:dyDescent="0.15">
      <c r="A227" s="59" t="s">
        <v>20</v>
      </c>
      <c r="B227" s="60" t="s">
        <v>23</v>
      </c>
      <c r="C227" s="61" t="s">
        <v>180</v>
      </c>
      <c r="D227" s="34" t="s">
        <v>7</v>
      </c>
      <c r="E227" s="6">
        <v>100000</v>
      </c>
      <c r="F227" s="6">
        <v>100000</v>
      </c>
      <c r="G227" s="6">
        <f t="shared" si="78"/>
        <v>0</v>
      </c>
      <c r="H227" s="6"/>
      <c r="I227" s="6"/>
      <c r="J227" s="6"/>
      <c r="K227" s="6"/>
      <c r="L227" s="6"/>
      <c r="M227" s="6"/>
      <c r="N227" s="62">
        <f t="shared" si="77"/>
        <v>0</v>
      </c>
      <c r="O227" s="65"/>
    </row>
    <row r="228" spans="1:15" ht="15" customHeight="1" x14ac:dyDescent="0.15">
      <c r="A228" s="81" t="s">
        <v>25</v>
      </c>
      <c r="B228" s="120"/>
      <c r="C228" s="121"/>
      <c r="D228" s="134"/>
      <c r="E228" s="121"/>
      <c r="F228" s="121"/>
      <c r="G228" s="121"/>
      <c r="H228" s="121"/>
      <c r="I228" s="121"/>
      <c r="J228" s="121"/>
      <c r="K228" s="121"/>
      <c r="L228" s="121"/>
      <c r="M228" s="121"/>
      <c r="N228" s="122"/>
    </row>
    <row r="229" spans="1:15" s="51" customFormat="1" ht="17.25" customHeight="1" x14ac:dyDescent="0.25">
      <c r="A229" s="43" t="s">
        <v>16</v>
      </c>
      <c r="B229" s="184"/>
      <c r="C229" s="45" t="s">
        <v>85</v>
      </c>
      <c r="D229" s="46"/>
      <c r="E229" s="48">
        <f t="shared" ref="E229:M229" si="79">SUM(E230,E233,E240)</f>
        <v>1755000</v>
      </c>
      <c r="F229" s="48">
        <f>SUM(F230,F233,F240,F237)</f>
        <v>2615535</v>
      </c>
      <c r="G229" s="48">
        <f>SUM(G230,G233,G240,G237)</f>
        <v>1416930</v>
      </c>
      <c r="H229" s="48">
        <f t="shared" si="79"/>
        <v>160372</v>
      </c>
      <c r="I229" s="48">
        <f t="shared" si="79"/>
        <v>197587</v>
      </c>
      <c r="J229" s="48">
        <f t="shared" si="79"/>
        <v>246897</v>
      </c>
      <c r="K229" s="48">
        <f t="shared" si="79"/>
        <v>348624</v>
      </c>
      <c r="L229" s="48">
        <f t="shared" si="79"/>
        <v>4560</v>
      </c>
      <c r="M229" s="48">
        <f t="shared" si="79"/>
        <v>4032</v>
      </c>
      <c r="N229" s="49">
        <f>ROUND(G229/F229*100,1)</f>
        <v>54.2</v>
      </c>
    </row>
    <row r="230" spans="1:15" ht="15" customHeight="1" x14ac:dyDescent="0.15">
      <c r="A230" s="14" t="s">
        <v>4</v>
      </c>
      <c r="B230" s="89"/>
      <c r="C230" s="73" t="s">
        <v>86</v>
      </c>
      <c r="D230" s="54"/>
      <c r="E230" s="55">
        <f t="shared" ref="E230:F230" si="80">SUM(E231:E232)</f>
        <v>0</v>
      </c>
      <c r="F230" s="55">
        <f t="shared" si="80"/>
        <v>0</v>
      </c>
      <c r="G230" s="55">
        <f t="shared" ref="G230:H230" si="81">SUM(G231:G232)</f>
        <v>0</v>
      </c>
      <c r="H230" s="55">
        <f t="shared" si="81"/>
        <v>0</v>
      </c>
      <c r="I230" s="55"/>
      <c r="J230" s="55"/>
      <c r="K230" s="55"/>
      <c r="L230" s="55"/>
      <c r="M230" s="55"/>
      <c r="N230" s="55"/>
      <c r="O230" s="66"/>
    </row>
    <row r="231" spans="1:15" s="21" customFormat="1" ht="15" customHeight="1" x14ac:dyDescent="0.15">
      <c r="A231" s="59" t="s">
        <v>20</v>
      </c>
      <c r="B231" s="185" t="s">
        <v>87</v>
      </c>
      <c r="C231" s="61"/>
      <c r="D231" s="34" t="s">
        <v>7</v>
      </c>
      <c r="E231" s="6"/>
      <c r="F231" s="6"/>
      <c r="G231" s="6">
        <f>SUM(H231:H231)</f>
        <v>0</v>
      </c>
      <c r="H231" s="6"/>
      <c r="I231" s="6"/>
      <c r="J231" s="6"/>
      <c r="K231" s="6"/>
      <c r="L231" s="6"/>
      <c r="M231" s="6"/>
      <c r="N231" s="62"/>
      <c r="O231" s="65"/>
    </row>
    <row r="232" spans="1:15" ht="15" customHeight="1" x14ac:dyDescent="0.15">
      <c r="A232" s="81" t="s">
        <v>25</v>
      </c>
      <c r="B232" s="120"/>
      <c r="C232" s="121"/>
      <c r="D232" s="134"/>
      <c r="E232" s="121"/>
      <c r="F232" s="121"/>
      <c r="G232" s="121"/>
      <c r="H232" s="121"/>
      <c r="I232" s="121"/>
      <c r="J232" s="121"/>
      <c r="K232" s="121"/>
      <c r="L232" s="121"/>
      <c r="M232" s="121"/>
      <c r="N232" s="122"/>
    </row>
    <row r="233" spans="1:15" ht="15" customHeight="1" x14ac:dyDescent="0.15">
      <c r="A233" s="14" t="s">
        <v>4</v>
      </c>
      <c r="B233" s="89"/>
      <c r="C233" s="73" t="s">
        <v>88</v>
      </c>
      <c r="D233" s="74"/>
      <c r="E233" s="76">
        <f t="shared" ref="E233:M233" si="82">SUM(E234:E235)</f>
        <v>20000</v>
      </c>
      <c r="F233" s="76">
        <f t="shared" si="82"/>
        <v>27900</v>
      </c>
      <c r="G233" s="76">
        <f t="shared" si="82"/>
        <v>17615</v>
      </c>
      <c r="H233" s="76">
        <f t="shared" si="82"/>
        <v>0</v>
      </c>
      <c r="I233" s="76">
        <f t="shared" si="82"/>
        <v>0</v>
      </c>
      <c r="J233" s="76">
        <f t="shared" si="82"/>
        <v>0</v>
      </c>
      <c r="K233" s="76">
        <f t="shared" si="82"/>
        <v>17615</v>
      </c>
      <c r="L233" s="76">
        <f t="shared" si="82"/>
        <v>0</v>
      </c>
      <c r="M233" s="76">
        <f t="shared" si="82"/>
        <v>0</v>
      </c>
      <c r="N233" s="76">
        <f>ROUND(G233/F233*100,1)</f>
        <v>63.1</v>
      </c>
      <c r="O233" s="66"/>
    </row>
    <row r="234" spans="1:15" s="21" customFormat="1" ht="15" customHeight="1" x14ac:dyDescent="0.15">
      <c r="A234" s="59" t="s">
        <v>20</v>
      </c>
      <c r="B234" s="185" t="s">
        <v>87</v>
      </c>
      <c r="C234" s="61" t="s">
        <v>181</v>
      </c>
      <c r="D234" s="34" t="s">
        <v>7</v>
      </c>
      <c r="E234" s="6">
        <v>20000</v>
      </c>
      <c r="F234" s="6">
        <v>20000</v>
      </c>
      <c r="G234" s="6">
        <f>SUM(H234:M234)</f>
        <v>17615</v>
      </c>
      <c r="H234" s="6"/>
      <c r="I234" s="6"/>
      <c r="J234" s="6"/>
      <c r="K234" s="6">
        <v>17615</v>
      </c>
      <c r="L234" s="6"/>
      <c r="M234" s="6"/>
      <c r="N234" s="62">
        <f>ROUND(G234/F234*100,1)</f>
        <v>88.1</v>
      </c>
      <c r="O234" s="65"/>
    </row>
    <row r="235" spans="1:15" ht="15" customHeight="1" x14ac:dyDescent="0.15">
      <c r="A235" s="59" t="s">
        <v>20</v>
      </c>
      <c r="B235" s="82" t="s">
        <v>87</v>
      </c>
      <c r="C235" s="10" t="s">
        <v>220</v>
      </c>
      <c r="D235" s="254" t="s">
        <v>7</v>
      </c>
      <c r="E235" s="66"/>
      <c r="F235" s="91">
        <v>7900</v>
      </c>
      <c r="G235" s="255">
        <f>SUM(H235:M235)</f>
        <v>0</v>
      </c>
      <c r="H235" s="66"/>
      <c r="I235" s="66"/>
      <c r="J235" s="66"/>
      <c r="K235" s="66"/>
      <c r="L235" s="66"/>
      <c r="M235" s="66"/>
      <c r="N235" s="71"/>
    </row>
    <row r="236" spans="1:15" ht="15" customHeight="1" x14ac:dyDescent="0.15">
      <c r="A236" s="248"/>
      <c r="B236" s="69"/>
      <c r="C236" s="66"/>
      <c r="D236" s="24"/>
      <c r="E236" s="66"/>
      <c r="F236" s="91"/>
      <c r="G236" s="26"/>
      <c r="H236" s="66"/>
      <c r="I236" s="66"/>
      <c r="J236" s="66"/>
      <c r="K236" s="66"/>
      <c r="L236" s="66"/>
      <c r="M236" s="66"/>
      <c r="N236" s="71"/>
    </row>
    <row r="237" spans="1:15" ht="15" customHeight="1" x14ac:dyDescent="0.15">
      <c r="A237" s="248"/>
      <c r="B237" s="69"/>
      <c r="C237" s="249" t="s">
        <v>221</v>
      </c>
      <c r="D237" s="250"/>
      <c r="E237" s="66"/>
      <c r="F237" s="155">
        <f>SUM(F238)</f>
        <v>50000</v>
      </c>
      <c r="G237" s="6">
        <f>SUM(H237:M237)</f>
        <v>0</v>
      </c>
      <c r="H237" s="66"/>
      <c r="I237" s="66"/>
      <c r="J237" s="66"/>
      <c r="K237" s="66"/>
      <c r="L237" s="66"/>
      <c r="M237" s="66"/>
      <c r="N237" s="71"/>
    </row>
    <row r="238" spans="1:15" ht="15" customHeight="1" x14ac:dyDescent="0.15">
      <c r="A238" s="248" t="s">
        <v>20</v>
      </c>
      <c r="B238" s="69" t="s">
        <v>87</v>
      </c>
      <c r="C238" s="66" t="s">
        <v>222</v>
      </c>
      <c r="D238" s="128" t="s">
        <v>11</v>
      </c>
      <c r="E238" s="66"/>
      <c r="F238" s="91">
        <v>50000</v>
      </c>
      <c r="G238" s="6">
        <f>SUM(H238:M238)</f>
        <v>0</v>
      </c>
      <c r="H238" s="66"/>
      <c r="I238" s="66"/>
      <c r="J238" s="66"/>
      <c r="K238" s="66"/>
      <c r="L238" s="66"/>
      <c r="M238" s="66"/>
      <c r="N238" s="71"/>
    </row>
    <row r="239" spans="1:15" ht="15" customHeight="1" x14ac:dyDescent="0.15">
      <c r="A239" s="248"/>
      <c r="B239" s="69"/>
      <c r="C239" s="66"/>
      <c r="D239" s="34"/>
      <c r="E239" s="66"/>
      <c r="F239" s="91"/>
      <c r="G239" s="66"/>
      <c r="H239" s="66"/>
      <c r="I239" s="66"/>
      <c r="J239" s="66"/>
      <c r="K239" s="66"/>
      <c r="L239" s="66"/>
      <c r="M239" s="66"/>
      <c r="N239" s="71"/>
    </row>
    <row r="240" spans="1:15" ht="15" customHeight="1" x14ac:dyDescent="0.15">
      <c r="A240" s="14" t="s">
        <v>4</v>
      </c>
      <c r="B240" s="89"/>
      <c r="C240" s="73" t="s">
        <v>89</v>
      </c>
      <c r="D240" s="74"/>
      <c r="E240" s="76">
        <f t="shared" ref="E240" si="83">SUM(E241:E246)</f>
        <v>1735000</v>
      </c>
      <c r="F240" s="76">
        <f t="shared" ref="F240:M240" si="84">SUM(F241:F246)</f>
        <v>2537635</v>
      </c>
      <c r="G240" s="76">
        <f t="shared" si="84"/>
        <v>1399315</v>
      </c>
      <c r="H240" s="76">
        <f t="shared" si="84"/>
        <v>160372</v>
      </c>
      <c r="I240" s="76">
        <f t="shared" si="84"/>
        <v>197587</v>
      </c>
      <c r="J240" s="76">
        <f t="shared" si="84"/>
        <v>246897</v>
      </c>
      <c r="K240" s="76">
        <f t="shared" si="84"/>
        <v>331009</v>
      </c>
      <c r="L240" s="76">
        <f t="shared" si="84"/>
        <v>4560</v>
      </c>
      <c r="M240" s="76">
        <f t="shared" si="84"/>
        <v>4032</v>
      </c>
      <c r="N240" s="76">
        <f t="shared" ref="N240:N245" si="85">ROUND(G240/F240*100,1)</f>
        <v>55.1</v>
      </c>
      <c r="O240" s="66"/>
    </row>
    <row r="241" spans="1:15" s="21" customFormat="1" ht="15" customHeight="1" x14ac:dyDescent="0.15">
      <c r="A241" s="59" t="s">
        <v>20</v>
      </c>
      <c r="B241" s="185" t="s">
        <v>23</v>
      </c>
      <c r="C241" s="61" t="s">
        <v>90</v>
      </c>
      <c r="D241" s="34" t="s">
        <v>7</v>
      </c>
      <c r="E241" s="6">
        <v>1300000</v>
      </c>
      <c r="F241" s="6">
        <f>1300000+77635</f>
        <v>1377635</v>
      </c>
      <c r="G241" s="6">
        <v>926475</v>
      </c>
      <c r="H241" s="6">
        <v>129334</v>
      </c>
      <c r="I241" s="6">
        <v>90920</v>
      </c>
      <c r="J241" s="6">
        <v>220164</v>
      </c>
      <c r="K241" s="6">
        <v>22607</v>
      </c>
      <c r="L241" s="6">
        <v>4560</v>
      </c>
      <c r="M241" s="6">
        <v>4032</v>
      </c>
      <c r="N241" s="62">
        <f t="shared" si="85"/>
        <v>67.3</v>
      </c>
      <c r="O241" s="65"/>
    </row>
    <row r="242" spans="1:15" s="21" customFormat="1" ht="15" customHeight="1" x14ac:dyDescent="0.15">
      <c r="A242" s="59" t="s">
        <v>20</v>
      </c>
      <c r="B242" s="185" t="s">
        <v>23</v>
      </c>
      <c r="C242" s="233" t="s">
        <v>90</v>
      </c>
      <c r="D242" s="204" t="s">
        <v>9</v>
      </c>
      <c r="E242" s="205">
        <v>315000</v>
      </c>
      <c r="F242" s="205">
        <v>965000</v>
      </c>
      <c r="G242" s="205">
        <f t="shared" ref="G242:G245" si="86">SUM(H242:M242)</f>
        <v>472840</v>
      </c>
      <c r="H242" s="31">
        <v>31038</v>
      </c>
      <c r="I242" s="205">
        <v>106667</v>
      </c>
      <c r="J242" s="31">
        <v>26733</v>
      </c>
      <c r="K242" s="31">
        <v>308402</v>
      </c>
      <c r="L242" s="31"/>
      <c r="M242" s="31"/>
      <c r="N242" s="206">
        <f t="shared" si="85"/>
        <v>49</v>
      </c>
      <c r="O242" s="65"/>
    </row>
    <row r="243" spans="1:15" s="21" customFormat="1" ht="15" customHeight="1" x14ac:dyDescent="0.15">
      <c r="A243" s="59" t="s">
        <v>20</v>
      </c>
      <c r="B243" s="185" t="s">
        <v>23</v>
      </c>
      <c r="C243" s="61" t="s">
        <v>182</v>
      </c>
      <c r="D243" s="34" t="s">
        <v>7</v>
      </c>
      <c r="E243" s="6">
        <v>100000</v>
      </c>
      <c r="F243" s="6">
        <f>100000+25000</f>
        <v>125000</v>
      </c>
      <c r="G243" s="6">
        <f t="shared" si="86"/>
        <v>0</v>
      </c>
      <c r="H243" s="6"/>
      <c r="I243" s="6"/>
      <c r="J243" s="6"/>
      <c r="K243" s="6"/>
      <c r="L243" s="6"/>
      <c r="M243" s="6"/>
      <c r="N243" s="62">
        <f t="shared" si="85"/>
        <v>0</v>
      </c>
      <c r="O243" s="65"/>
    </row>
    <row r="244" spans="1:15" s="21" customFormat="1" ht="15" customHeight="1" x14ac:dyDescent="0.15">
      <c r="A244" s="59" t="s">
        <v>20</v>
      </c>
      <c r="B244" s="185" t="s">
        <v>23</v>
      </c>
      <c r="C244" s="61" t="s">
        <v>219</v>
      </c>
      <c r="D244" s="34" t="s">
        <v>11</v>
      </c>
      <c r="E244" s="6"/>
      <c r="F244" s="6">
        <v>20000</v>
      </c>
      <c r="G244" s="6">
        <f t="shared" si="86"/>
        <v>0</v>
      </c>
      <c r="H244" s="6"/>
      <c r="I244" s="6"/>
      <c r="J244" s="6"/>
      <c r="K244" s="6"/>
      <c r="L244" s="6"/>
      <c r="M244" s="6"/>
      <c r="N244" s="62">
        <f t="shared" si="85"/>
        <v>0</v>
      </c>
      <c r="O244" s="65"/>
    </row>
    <row r="245" spans="1:15" s="21" customFormat="1" ht="15" customHeight="1" x14ac:dyDescent="0.15">
      <c r="A245" s="59" t="s">
        <v>20</v>
      </c>
      <c r="B245" s="185" t="s">
        <v>23</v>
      </c>
      <c r="C245" s="61" t="s">
        <v>183</v>
      </c>
      <c r="D245" s="34" t="s">
        <v>7</v>
      </c>
      <c r="E245" s="6">
        <v>20000</v>
      </c>
      <c r="F245" s="6">
        <f>20000+30000</f>
        <v>50000</v>
      </c>
      <c r="G245" s="6">
        <f t="shared" si="86"/>
        <v>0</v>
      </c>
      <c r="H245" s="6"/>
      <c r="I245" s="6"/>
      <c r="J245" s="6"/>
      <c r="K245" s="6"/>
      <c r="L245" s="6"/>
      <c r="M245" s="6"/>
      <c r="N245" s="62">
        <f t="shared" si="85"/>
        <v>0</v>
      </c>
      <c r="O245" s="65"/>
    </row>
    <row r="246" spans="1:15" ht="15" customHeight="1" x14ac:dyDescent="0.15">
      <c r="A246" s="81" t="s">
        <v>25</v>
      </c>
      <c r="B246" s="186"/>
      <c r="C246" s="187"/>
      <c r="D246" s="188"/>
      <c r="E246" s="189"/>
      <c r="F246" s="189"/>
      <c r="G246" s="189"/>
      <c r="H246" s="121"/>
      <c r="I246" s="121"/>
      <c r="J246" s="121"/>
      <c r="K246" s="121"/>
      <c r="L246" s="121"/>
      <c r="M246" s="121"/>
      <c r="N246" s="122"/>
    </row>
    <row r="247" spans="1:15" ht="15" customHeight="1" x14ac:dyDescent="0.15">
      <c r="C247" s="66"/>
      <c r="D247" s="190"/>
      <c r="E247" s="66"/>
      <c r="F247" s="66"/>
      <c r="G247" s="66"/>
    </row>
    <row r="248" spans="1:15" ht="15" customHeight="1" x14ac:dyDescent="0.15">
      <c r="C248" s="88"/>
      <c r="D248" s="88"/>
      <c r="E248" s="66"/>
      <c r="F248" s="66"/>
      <c r="G248" s="66"/>
    </row>
    <row r="249" spans="1:15" ht="15" customHeight="1" x14ac:dyDescent="0.15">
      <c r="C249" s="88"/>
      <c r="D249" s="88"/>
      <c r="E249" s="91"/>
      <c r="F249" s="91"/>
      <c r="G249" s="66"/>
    </row>
    <row r="250" spans="1:15" ht="15" customHeight="1" x14ac:dyDescent="0.15">
      <c r="C250" s="88"/>
      <c r="D250" s="88"/>
      <c r="E250" s="66"/>
      <c r="F250" s="66"/>
      <c r="G250" s="66"/>
    </row>
    <row r="251" spans="1:15" ht="15" customHeight="1" x14ac:dyDescent="0.15">
      <c r="C251" s="91"/>
      <c r="D251" s="91"/>
      <c r="E251" s="66"/>
      <c r="F251" s="66"/>
      <c r="G251" s="66"/>
    </row>
    <row r="252" spans="1:15" ht="15" customHeight="1" x14ac:dyDescent="0.15">
      <c r="C252" s="191"/>
      <c r="D252" s="191"/>
      <c r="E252" s="66"/>
      <c r="F252" s="66"/>
      <c r="G252" s="66"/>
    </row>
    <row r="253" spans="1:15" ht="15" customHeight="1" x14ac:dyDescent="0.15">
      <c r="C253" s="88"/>
      <c r="D253" s="88"/>
      <c r="E253" s="66"/>
      <c r="F253" s="66"/>
      <c r="G253" s="66"/>
    </row>
    <row r="254" spans="1:15" ht="15" customHeight="1" x14ac:dyDescent="0.15">
      <c r="C254" s="66"/>
      <c r="D254" s="190"/>
      <c r="E254" s="66"/>
      <c r="F254" s="66"/>
      <c r="G254" s="66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Poolaasta eelarve täitmine</vt:lpstr>
      <vt:lpstr>Poolaasta investeeringud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Admin</cp:lastModifiedBy>
  <cp:lastPrinted>2019-08-16T07:08:24Z</cp:lastPrinted>
  <dcterms:created xsi:type="dcterms:W3CDTF">2018-12-20T13:19:14Z</dcterms:created>
  <dcterms:modified xsi:type="dcterms:W3CDTF">2019-08-16T07:09:28Z</dcterms:modified>
</cp:coreProperties>
</file>