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KULUD" sheetId="1" r:id="rId1"/>
    <sheet name="RAHA" sheetId="2" r:id="rId2"/>
    <sheet name="ASUTAMISKULU" sheetId="3" r:id="rId3"/>
    <sheet name="2.1 töötasu" sheetId="4" r:id="rId4"/>
    <sheet name="2.2 rent-kommun" sheetId="5" r:id="rId5"/>
    <sheet name="2.4 auto" sheetId="6" r:id="rId6"/>
    <sheet name="2.5 kindl" sheetId="7" r:id="rId7"/>
    <sheet name="2.6 side-arvut" sheetId="8" r:id="rId8"/>
    <sheet name="2.8.püsikulud " sheetId="9" r:id="rId9"/>
    <sheet name="3.kulum" sheetId="10" r:id="rId10"/>
    <sheet name="4.invest" sheetId="11" r:id="rId11"/>
    <sheet name="liigend-uus" sheetId="12" r:id="rId12"/>
    <sheet name="liigend-kasut" sheetId="13" r:id="rId13"/>
    <sheet name="lühike-uus" sheetId="14" r:id="rId14"/>
    <sheet name="lühike-kasut" sheetId="15" r:id="rId15"/>
    <sheet name="busside vajadu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Tiina Telling</author>
  </authors>
  <commentList>
    <comment ref="B27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vormirõivad,koolitus,kantseleikulu,vähevääruslik inventar</t>
        </r>
      </text>
    </comment>
    <comment ref="B16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väli-, salongipesu harva
</t>
        </r>
      </text>
    </comment>
    <comment ref="B13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ostmine ja rehviaruandlus Hinkusest</t>
        </r>
      </text>
    </comment>
    <comment ref="B10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vaheladu Scanias, Volvos ,Mercedes
GoBus rem.kulu+rem.teenus 3,1 mil.2009.meil 4,5 milj </t>
        </r>
      </text>
    </comment>
    <comment ref="B11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1täishooldus bussile aastas15tuhx54=800tuh</t>
        </r>
      </text>
    </comment>
    <comment ref="E20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lisatud juunis133 tuh ettevalmistustööde tööjõukulu
</t>
        </r>
      </text>
    </comment>
    <comment ref="B23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60 tuh.km 3 autoläbisõit;
6tuh.l x13 kr=78 tuh.</t>
        </r>
      </text>
    </comment>
    <comment ref="B12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12m=20tuh
18m=25tuh</t>
        </r>
      </text>
    </comment>
  </commentList>
</comments>
</file>

<file path=xl/comments16.xml><?xml version="1.0" encoding="utf-8"?>
<comments xmlns="http://schemas.openxmlformats.org/spreadsheetml/2006/main">
  <authors>
    <author>Tiina Telling</author>
  </authors>
  <commentList>
    <comment ref="Z7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lõpp 5.21 Nõlvaku</t>
        </r>
      </text>
    </comment>
    <comment ref="AA7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lõpp 5.35 Turu</t>
        </r>
      </text>
    </comment>
    <comment ref="G8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4.buss alustab 6.58 Soodusmarket;
5.buss alustab7.30 Soodusmarket</t>
        </r>
      </text>
    </comment>
    <comment ref="I8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4. buss alustab 7.10 FI</t>
        </r>
      </text>
    </comment>
    <comment ref="C8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4.buss alustab 6.50 Nõlvaku</t>
        </r>
      </text>
    </comment>
    <comment ref="L8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2.buss alustab 7.00 FI</t>
        </r>
      </text>
    </comment>
    <comment ref="AD28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58 bussi 3,8 milj. km;
Liinil oli 51 bussi.
KM on GoBussil 8,5% vähem, seega ka busside vajadus 8,5% väiksem . Vajadus seega 47 bussi mitte 49</t>
        </r>
      </text>
    </comment>
  </commentList>
</comments>
</file>

<file path=xl/comments2.xml><?xml version="1.0" encoding="utf-8"?>
<comments xmlns="http://schemas.openxmlformats.org/spreadsheetml/2006/main">
  <authors>
    <author>Tiina Telling</author>
  </authors>
  <commentList>
    <comment ref="B22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47722+21099=68821
</t>
        </r>
      </text>
    </comment>
  </commentList>
</comments>
</file>

<file path=xl/comments4.xml><?xml version="1.0" encoding="utf-8"?>
<comments xmlns="http://schemas.openxmlformats.org/spreadsheetml/2006/main">
  <authors>
    <author>Tiina Telling</author>
  </authors>
  <commentList>
    <comment ref="A10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6 luksepp
1luksepp-elektrik
1luksepp-keevitaja</t>
        </r>
      </text>
    </comment>
    <comment ref="A38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2 inimest 2 kuud
</t>
        </r>
      </text>
    </comment>
  </commentList>
</comments>
</file>

<file path=xl/comments5.xml><?xml version="1.0" encoding="utf-8"?>
<comments xmlns="http://schemas.openxmlformats.org/spreadsheetml/2006/main">
  <authors>
    <author>Tiina Telling</author>
  </authors>
  <commentList>
    <comment ref="A4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tehnilise valmisolekuga</t>
        </r>
      </text>
    </comment>
    <comment ref="A5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hall eeldab kanalitõstukit ja posttõstukit.
6,5*48=300m²</t>
        </r>
      </text>
    </comment>
    <comment ref="L3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lumekoristustsükleid 20x900kr=18000
cleanaway</t>
        </r>
      </text>
    </comment>
    <comment ref="M3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vaakuminuriga puhastus 4x800=3200
</t>
        </r>
      </text>
    </comment>
    <comment ref="A12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tehnilise valmisolekuga</t>
        </r>
      </text>
    </comment>
    <comment ref="A13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hall eeldab kanalitõstukit ja posttõstukit.
6,5*48=300m²</t>
        </r>
      </text>
    </comment>
  </commentList>
</comments>
</file>

<file path=xl/comments9.xml><?xml version="1.0" encoding="utf-8"?>
<comments xmlns="http://schemas.openxmlformats.org/spreadsheetml/2006/main">
  <authors>
    <author>Tiina Telling</author>
  </authors>
  <commentList>
    <comment ref="A9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4 nõupidamis
3 bussijuhtidele</t>
        </r>
      </text>
    </comment>
    <comment ref="A10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nõupidamis,bussijuhtide,
 puhkeruumi</t>
        </r>
      </text>
    </comment>
    <comment ref="A15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kompressor 20, keevitus 10, puurpink, käi,padrunvõtmete komplektid
</t>
        </r>
      </text>
    </comment>
    <comment ref="A25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 kantseleikulu</t>
        </r>
      </text>
    </comment>
    <comment ref="A20" authorId="0">
      <text>
        <r>
          <rPr>
            <b/>
            <sz val="8"/>
            <rFont val="Tahoma"/>
            <family val="0"/>
          </rPr>
          <t>Tiina Telling:</t>
        </r>
        <r>
          <rPr>
            <sz val="8"/>
            <rFont val="Tahoma"/>
            <family val="0"/>
          </rPr>
          <t xml:space="preserve">
suvine, talvine 4500x150juhti</t>
        </r>
      </text>
    </comment>
  </commentList>
</comments>
</file>

<file path=xl/sharedStrings.xml><?xml version="1.0" encoding="utf-8"?>
<sst xmlns="http://schemas.openxmlformats.org/spreadsheetml/2006/main" count="553" uniqueCount="295">
  <si>
    <t>Liiniläbisõit (km)</t>
  </si>
  <si>
    <t>Kellaaeg</t>
  </si>
  <si>
    <t>16a</t>
  </si>
  <si>
    <t>Kokku</t>
  </si>
  <si>
    <t xml:space="preserve"> Remondikulu                          </t>
  </si>
  <si>
    <t xml:space="preserve">Rehvid                    </t>
  </si>
  <si>
    <t>Muutuvad kulud</t>
  </si>
  <si>
    <t>Püsikulud</t>
  </si>
  <si>
    <t xml:space="preserve"> 2.1                             </t>
  </si>
  <si>
    <t xml:space="preserve"> 2.2</t>
  </si>
  <si>
    <t xml:space="preserve"> 2.3</t>
  </si>
  <si>
    <t xml:space="preserve"> 2.4</t>
  </si>
  <si>
    <t xml:space="preserve"> 2.5</t>
  </si>
  <si>
    <t>Kommunaalkulud (soojus, vesi elekter)</t>
  </si>
  <si>
    <t xml:space="preserve"> Rendikulu</t>
  </si>
  <si>
    <t>Side ja arvutikulu</t>
  </si>
  <si>
    <t xml:space="preserve"> 2.6</t>
  </si>
  <si>
    <t>Vara nimetus:</t>
  </si>
  <si>
    <t>Liisingu tüüp:</t>
  </si>
  <si>
    <t>Kommertssõidukite kapitalirent</t>
  </si>
  <si>
    <t>Vara maksumus käibemaksuga:</t>
  </si>
  <si>
    <t>1600000 EEK</t>
  </si>
  <si>
    <t>Vara maksumus käibemaksuta:</t>
  </si>
  <si>
    <t>1355932.20 EEK</t>
  </si>
  <si>
    <t>Esimene sissemakse:</t>
  </si>
  <si>
    <t>271186.44 EEK</t>
  </si>
  <si>
    <t>Käibemaks</t>
  </si>
  <si>
    <t>Liisingperioodi pikkus:</t>
  </si>
  <si>
    <t>60 kuud</t>
  </si>
  <si>
    <t>Intress:</t>
  </si>
  <si>
    <t>Lepingutasu:</t>
  </si>
  <si>
    <t>Maksepäev</t>
  </si>
  <si>
    <t>Lepingu jääk</t>
  </si>
  <si>
    <t>Makse</t>
  </si>
  <si>
    <t>Intress</t>
  </si>
  <si>
    <t>Lepingutasu</t>
  </si>
  <si>
    <t>Kokku:</t>
  </si>
  <si>
    <t>%</t>
  </si>
  <si>
    <t>Lepingutasu,audit</t>
  </si>
  <si>
    <t xml:space="preserve"> Remonditeenus ostetud                       </t>
  </si>
  <si>
    <t xml:space="preserve"> Remonditööliste tööjõukulu            </t>
  </si>
  <si>
    <t xml:space="preserve"> Busside pesu                              </t>
  </si>
  <si>
    <t>Muud püsikulud</t>
  </si>
  <si>
    <t xml:space="preserve"> 2.7</t>
  </si>
  <si>
    <t xml:space="preserve"> 2.8</t>
  </si>
  <si>
    <t>TEGEVUSKULUD KOKKU</t>
  </si>
  <si>
    <t>Kulum</t>
  </si>
  <si>
    <t>KULUD KOKKU</t>
  </si>
  <si>
    <t>2009.a. 6 kuud</t>
  </si>
  <si>
    <t>2010.a.</t>
  </si>
  <si>
    <t>2011.a.</t>
  </si>
  <si>
    <t>2012.a.</t>
  </si>
  <si>
    <t>2013.a.</t>
  </si>
  <si>
    <t>Remonditöökoja töötasu</t>
  </si>
  <si>
    <t>Remonditöötajad</t>
  </si>
  <si>
    <t>Amet</t>
  </si>
  <si>
    <t>Arv</t>
  </si>
  <si>
    <t>Kuupalk</t>
  </si>
  <si>
    <t>Aastapalk</t>
  </si>
  <si>
    <t>Laohoidja</t>
  </si>
  <si>
    <t>Paigutaja</t>
  </si>
  <si>
    <t>kokku</t>
  </si>
  <si>
    <t>Kokku tööjõukulu</t>
  </si>
  <si>
    <t>Meister-varustaja</t>
  </si>
  <si>
    <t>Juhataja</t>
  </si>
  <si>
    <t>Pearaamatupidaja</t>
  </si>
  <si>
    <t>Raamatupidaja</t>
  </si>
  <si>
    <t>Personalijuht-sekretär</t>
  </si>
  <si>
    <t>Liiniinsener</t>
  </si>
  <si>
    <t>Maksud  33,3%</t>
  </si>
  <si>
    <t>TÖÖTASUD</t>
  </si>
  <si>
    <t>Rendipind</t>
  </si>
  <si>
    <t>Parkimiplats</t>
  </si>
  <si>
    <t>Pindala m²</t>
  </si>
  <si>
    <t>Remondihall</t>
  </si>
  <si>
    <t>Remondiladu</t>
  </si>
  <si>
    <t>Kontor</t>
  </si>
  <si>
    <t>Disp. Teenistus</t>
  </si>
  <si>
    <t>Küte</t>
  </si>
  <si>
    <t>Dispetšer</t>
  </si>
  <si>
    <t>Administratsiooni, dispetserite tööjõukulu</t>
  </si>
  <si>
    <t>Kasutatud liigendbussi liisingmaksed</t>
  </si>
  <si>
    <t>4000000 EEK</t>
  </si>
  <si>
    <t>5.609%</t>
  </si>
  <si>
    <t>Jääkväärtus:</t>
  </si>
  <si>
    <t>Uue liigendbussi liisingmaksed</t>
  </si>
  <si>
    <t>12000x7=84000</t>
  </si>
  <si>
    <t>1400000 EEK</t>
  </si>
  <si>
    <t>1186440.68 EEK</t>
  </si>
  <si>
    <t>237288.14 EEK</t>
  </si>
  <si>
    <t>4200x20=84000</t>
  </si>
  <si>
    <t>Jääkmaksumus 0</t>
  </si>
  <si>
    <t>3000000 EEK</t>
  </si>
  <si>
    <t>508474.58 EEK</t>
  </si>
  <si>
    <t>Kasutatud tavabussi liisingmaksed</t>
  </si>
  <si>
    <t>Uute tavabussi liisingmaksed</t>
  </si>
  <si>
    <t>4800x8=38400</t>
  </si>
  <si>
    <t>Aastamaks</t>
  </si>
  <si>
    <t>9000x19=171000</t>
  </si>
  <si>
    <t>LIISINGUMAKSED JA INTRESSID</t>
  </si>
  <si>
    <t>Nimetus</t>
  </si>
  <si>
    <t>2009.a.</t>
  </si>
  <si>
    <t>Liigendbuss uus</t>
  </si>
  <si>
    <t>Liigendbuss kasutatud</t>
  </si>
  <si>
    <t>Tavabuss uus</t>
  </si>
  <si>
    <t>Tavabuss kasutatud</t>
  </si>
  <si>
    <t>Busside arv</t>
  </si>
  <si>
    <t>Soetamismaksumus kokku</t>
  </si>
  <si>
    <t>Soetamismaksumus ühikule</t>
  </si>
  <si>
    <t>Jääkväärtus</t>
  </si>
  <si>
    <t>kontr</t>
  </si>
  <si>
    <t>1.</t>
  </si>
  <si>
    <t>2.</t>
  </si>
  <si>
    <t>3.</t>
  </si>
  <si>
    <t>4.</t>
  </si>
  <si>
    <t>PÕHIVARA KULUMI ARVESTUS</t>
  </si>
  <si>
    <t>Kastusaeg</t>
  </si>
  <si>
    <t>Kulum aastas</t>
  </si>
  <si>
    <t>Amortisatsiooni %</t>
  </si>
  <si>
    <t>Kulum kokku</t>
  </si>
  <si>
    <t>mark</t>
  </si>
  <si>
    <t>mudel</t>
  </si>
  <si>
    <t>võimsus</t>
  </si>
  <si>
    <t>istek</t>
  </si>
  <si>
    <t>v.a. aasta</t>
  </si>
  <si>
    <t>ostuh</t>
  </si>
  <si>
    <t xml:space="preserve">Liigendbuss </t>
  </si>
  <si>
    <t xml:space="preserve">Tavabuss </t>
  </si>
  <si>
    <t>Kogus</t>
  </si>
  <si>
    <t>Auto</t>
  </si>
  <si>
    <t>Ühikule</t>
  </si>
  <si>
    <t xml:space="preserve">Kaskokindlustus </t>
  </si>
  <si>
    <t xml:space="preserve">Liikluskindlustus </t>
  </si>
  <si>
    <t>Kokku kindlustus</t>
  </si>
  <si>
    <t>KINDLUSTUS</t>
  </si>
  <si>
    <t>Kasko- ja liikluskindlustus</t>
  </si>
  <si>
    <t>Kokku bussid</t>
  </si>
  <si>
    <t>Kõik kokku</t>
  </si>
  <si>
    <t>sheet 2.2</t>
  </si>
  <si>
    <t>sheet 2.1</t>
  </si>
  <si>
    <t xml:space="preserve">sheet 3 </t>
  </si>
  <si>
    <t>sheet 4</t>
  </si>
  <si>
    <t xml:space="preserve">Nimetus </t>
  </si>
  <si>
    <t>Hind</t>
  </si>
  <si>
    <t>Maksumus</t>
  </si>
  <si>
    <t>Kontorilaua komplekt</t>
  </si>
  <si>
    <t>Sahtlite komlekt</t>
  </si>
  <si>
    <t>Riidekapp</t>
  </si>
  <si>
    <t>Riiulid</t>
  </si>
  <si>
    <t>Toolid</t>
  </si>
  <si>
    <t>Laud</t>
  </si>
  <si>
    <t>Lao riiulikomplektid</t>
  </si>
  <si>
    <t>VÄHEVÄÄRTUSLIK INVENTAR</t>
  </si>
  <si>
    <t>SIDE JA ARVUTIKULU</t>
  </si>
  <si>
    <t>Telefoni-, internetikulu</t>
  </si>
  <si>
    <t>Arvutivõrgu väljaehitus</t>
  </si>
  <si>
    <t>Sülearvuti</t>
  </si>
  <si>
    <t>Printerid, fax, koopiamasin</t>
  </si>
  <si>
    <t>Merit Aktiva (raamatup.)</t>
  </si>
  <si>
    <t>Merit Palk (raamatup.)</t>
  </si>
  <si>
    <t>Merit Buss</t>
  </si>
  <si>
    <t xml:space="preserve">Telefonid </t>
  </si>
  <si>
    <t>Mobiiltelefon</t>
  </si>
  <si>
    <t>sheet 2.6</t>
  </si>
  <si>
    <t>sheet 2.5</t>
  </si>
  <si>
    <t>RAHAVOOG</t>
  </si>
  <si>
    <t>Tehnilise abi teenus</t>
  </si>
  <si>
    <t>Töökoja seadmed ja tööriistad</t>
  </si>
  <si>
    <t>Vormiriietus bussijuhtidele</t>
  </si>
  <si>
    <t>Kooliitus</t>
  </si>
  <si>
    <t>Tööriiete rent ja pesu remonditöötajatele</t>
  </si>
  <si>
    <t>Liisingu maksed</t>
  </si>
  <si>
    <t>Muutuvkulud</t>
  </si>
  <si>
    <t>Liisingu intressid</t>
  </si>
  <si>
    <t>Kokku raha vajadus</t>
  </si>
  <si>
    <t>Tegevuskulud kokku</t>
  </si>
  <si>
    <t>sheet 2.8</t>
  </si>
  <si>
    <t>Viide</t>
  </si>
  <si>
    <t xml:space="preserve">Muu üldkulu </t>
  </si>
  <si>
    <t>Lumekoristus</t>
  </si>
  <si>
    <t>Suvehooldus</t>
  </si>
  <si>
    <t xml:space="preserve">Bussipesijad </t>
  </si>
  <si>
    <t>Vesi</t>
  </si>
  <si>
    <t>Valve</t>
  </si>
  <si>
    <t>Prügivedu</t>
  </si>
  <si>
    <t>FORD TRANSIT 2007</t>
  </si>
  <si>
    <t>Auto kasutusrent</t>
  </si>
  <si>
    <t>270000 EEK</t>
  </si>
  <si>
    <t>54000.00 EEK</t>
  </si>
  <si>
    <t>Lepingutasu koos käibemaksuga:</t>
  </si>
  <si>
    <t>3 186,00 EEK</t>
  </si>
  <si>
    <t>2 700,00 EEK</t>
  </si>
  <si>
    <t>sheet 2.4</t>
  </si>
  <si>
    <t>Bussijuhid</t>
  </si>
  <si>
    <t>Kokku ettevõtte tööjõukulu</t>
  </si>
  <si>
    <t>600kr*100 X</t>
  </si>
  <si>
    <t>Hooldustasu Merit programm</t>
  </si>
  <si>
    <t>Liigendbuss uus 18m</t>
  </si>
  <si>
    <t>Tavabuss uus 12m</t>
  </si>
  <si>
    <t>istekohti</t>
  </si>
  <si>
    <t>ostuhind</t>
  </si>
  <si>
    <t>väljalaskeaa</t>
  </si>
  <si>
    <t>Busside osamaks</t>
  </si>
  <si>
    <t>Busside lepingutasud</t>
  </si>
  <si>
    <t>osamaks</t>
  </si>
  <si>
    <t>lepinutasu</t>
  </si>
  <si>
    <t>Inventari soetamine</t>
  </si>
  <si>
    <t>.2.4</t>
  </si>
  <si>
    <t>.2.8</t>
  </si>
  <si>
    <t>Sheet</t>
  </si>
  <si>
    <t>ASUTAMISKULUD</t>
  </si>
  <si>
    <t>.2.6</t>
  </si>
  <si>
    <t>Arvutid, programmid</t>
  </si>
  <si>
    <t>KOKKU</t>
  </si>
  <si>
    <t>Investeering</t>
  </si>
  <si>
    <t>tuh.kr.</t>
  </si>
  <si>
    <t>kr/km</t>
  </si>
  <si>
    <t>Liinikilomeetri omahind (kr/km)</t>
  </si>
  <si>
    <t>Komposterid</t>
  </si>
  <si>
    <t>0,49 l / km</t>
  </si>
  <si>
    <t>2009.a.-2013.a.</t>
  </si>
  <si>
    <t>Liiniläbisõidu kütuse kulu (l /km)</t>
  </si>
  <si>
    <r>
      <t xml:space="preserve">sheet 4, </t>
    </r>
    <r>
      <rPr>
        <sz val="7"/>
        <rFont val="Arial"/>
        <family val="2"/>
      </rPr>
      <t>audit70</t>
    </r>
  </si>
  <si>
    <t>Admin., dispetšerite tööjõukulu</t>
  </si>
  <si>
    <t>MAJANDUSAUTO KASUTUSRENT</t>
  </si>
  <si>
    <t xml:space="preserve">R E N T </t>
  </si>
  <si>
    <t>K O M M U N A A L K U L U</t>
  </si>
  <si>
    <t>Elekter</t>
  </si>
  <si>
    <t>Koristus</t>
  </si>
  <si>
    <t>Tavabuss uus 16m</t>
  </si>
  <si>
    <t xml:space="preserve"> 1.1.                             </t>
  </si>
  <si>
    <t xml:space="preserve"> 1.4.                             </t>
  </si>
  <si>
    <t xml:space="preserve"> 1.3.                             </t>
  </si>
  <si>
    <t xml:space="preserve"> 1.2.                             </t>
  </si>
  <si>
    <t xml:space="preserve"> 1.5.                             </t>
  </si>
  <si>
    <t xml:space="preserve"> 1.6.                             </t>
  </si>
  <si>
    <t xml:space="preserve"> 1.7.                             </t>
  </si>
  <si>
    <t xml:space="preserve"> 1.8.                             </t>
  </si>
  <si>
    <t>KULUDE PROGNOOS</t>
  </si>
  <si>
    <t>BUSSIDE ARV LIINIL</t>
  </si>
  <si>
    <t>L  I  I  N  I     N  U  M  B  E  R</t>
  </si>
  <si>
    <t>jrk</t>
  </si>
  <si>
    <t>3a</t>
  </si>
  <si>
    <t>6a</t>
  </si>
  <si>
    <t>con</t>
  </si>
  <si>
    <t>Ettevalmistustööde tööjõukulu juunis</t>
  </si>
  <si>
    <t>Hind kr/m² kuus</t>
  </si>
  <si>
    <t>Tulu</t>
  </si>
  <si>
    <t>Kasum</t>
  </si>
  <si>
    <t>I var.</t>
  </si>
  <si>
    <t>II var.</t>
  </si>
  <si>
    <t>Ettevalmistuskulu juunis</t>
  </si>
  <si>
    <t>RENT, KOMMUNAALKULU</t>
  </si>
  <si>
    <t>Majandusautote kulu (liising,%,kütus 78tuh.)</t>
  </si>
  <si>
    <t>Sekretär</t>
  </si>
  <si>
    <t>Nõukogu 5 liiget</t>
  </si>
  <si>
    <t>Arvutikomplektid 11 tk.</t>
  </si>
  <si>
    <t xml:space="preserve"> Kütus tühisõiduks                              </t>
  </si>
  <si>
    <t>0,40 l / km</t>
  </si>
  <si>
    <t>250000 EEK</t>
  </si>
  <si>
    <t>50000.00 EEK</t>
  </si>
  <si>
    <t>2 950,00 EEK</t>
  </si>
  <si>
    <t>2 500,00 EEK</t>
  </si>
  <si>
    <t>160000 EEK</t>
  </si>
  <si>
    <t>32000.00 EEK</t>
  </si>
  <si>
    <t>JUHATAJA AUTO</t>
  </si>
  <si>
    <t>LIINIINSENERI AUTO</t>
  </si>
  <si>
    <t>KOKKU 3 AUTOT</t>
  </si>
  <si>
    <t>maksed,%</t>
  </si>
  <si>
    <t>lepingutasu</t>
  </si>
  <si>
    <t>Tühisõidu kütuse kulu (l /km)</t>
  </si>
  <si>
    <t>*Juhataja</t>
  </si>
  <si>
    <t>kuud</t>
  </si>
  <si>
    <t>palk</t>
  </si>
  <si>
    <t>*pearaamatupidaja</t>
  </si>
  <si>
    <t>*personalijuht</t>
  </si>
  <si>
    <t>*remonditöötaja</t>
  </si>
  <si>
    <t>*meister-varustaja</t>
  </si>
  <si>
    <t xml:space="preserve"> 1.9.                             </t>
  </si>
  <si>
    <t>Busside värvimine</t>
  </si>
  <si>
    <t>.2.1</t>
  </si>
  <si>
    <t>EEK</t>
  </si>
  <si>
    <t>Autode  osamaks,lepingutasu</t>
  </si>
  <si>
    <t>Maksumus aastas EEK</t>
  </si>
  <si>
    <t>Maksumus aasta EEK</t>
  </si>
  <si>
    <t>Tulu km-le</t>
  </si>
  <si>
    <t xml:space="preserve"> Bussijuhtide tööjõukulu   (kasv järgnevatel aastatel 5%)    </t>
  </si>
  <si>
    <t xml:space="preserve"> Kütus  (2009.a. 13 EEK/liiter)                               </t>
  </si>
  <si>
    <t>keskm. Kuu maksumus /EEK</t>
  </si>
  <si>
    <t>KOKKU:</t>
  </si>
  <si>
    <t>Kom.kulu /kuus/EEK</t>
  </si>
  <si>
    <t>Hooldustasu arvutivõrk ( 2009.a. 8 kuud)</t>
  </si>
  <si>
    <t>Liisinguintressid</t>
  </si>
  <si>
    <t>Kasum (s.h. 2009.a. on arvestatud 21 099 000 krooni aktsiakapitalina; kasum 1 925 000 krooni)</t>
  </si>
  <si>
    <t>Tühisõit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</si>
</sst>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.00\ &quot;kr&quot;"/>
    <numFmt numFmtId="178" formatCode="0.0%"/>
    <numFmt numFmtId="179" formatCode="#,##0.0"/>
    <numFmt numFmtId="180" formatCode="0.0"/>
    <numFmt numFmtId="181" formatCode="[$-425]d\.\ mmmm\ yyyy&quot;. a.&quot;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0.00000000"/>
    <numFmt numFmtId="188" formatCode="0.0000000"/>
    <numFmt numFmtId="189" formatCode="#,##0.000"/>
    <numFmt numFmtId="190" formatCode="#,##0.0000"/>
    <numFmt numFmtId="191" formatCode="0.E+00"/>
    <numFmt numFmtId="192" formatCode="[$-F400]h:mm:ss\ AM/PM"/>
    <numFmt numFmtId="193" formatCode="0E+00"/>
  </numFmts>
  <fonts count="2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u val="single"/>
      <sz val="9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7"/>
      <color indexed="48"/>
      <name val="Arial"/>
      <family val="0"/>
    </font>
    <font>
      <b/>
      <sz val="7"/>
      <color indexed="4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3" fontId="0" fillId="0" borderId="1" xfId="0" applyNumberFormat="1" applyBorder="1" applyAlignment="1">
      <alignment/>
    </xf>
    <xf numFmtId="0" fontId="13" fillId="0" borderId="0" xfId="0" applyFont="1" applyAlignment="1">
      <alignment horizontal="centerContinuous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5" fillId="0" borderId="2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justify"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" fontId="6" fillId="0" borderId="0" xfId="0" applyNumberFormat="1" applyFont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3" fontId="16" fillId="0" borderId="0" xfId="0" applyNumberFormat="1" applyFont="1" applyAlignment="1">
      <alignment/>
    </xf>
    <xf numFmtId="0" fontId="16" fillId="0" borderId="6" xfId="0" applyFont="1" applyBorder="1" applyAlignment="1">
      <alignment/>
    </xf>
    <xf numFmtId="0" fontId="24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24" fillId="0" borderId="9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justify"/>
    </xf>
    <xf numFmtId="9" fontId="0" fillId="0" borderId="13" xfId="19" applyBorder="1" applyAlignment="1">
      <alignment/>
    </xf>
    <xf numFmtId="9" fontId="0" fillId="0" borderId="13" xfId="0" applyNumberForma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190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 horizontal="left" wrapText="1"/>
    </xf>
    <xf numFmtId="3" fontId="0" fillId="0" borderId="13" xfId="0" applyNumberFormat="1" applyBorder="1" applyAlignment="1">
      <alignment wrapText="1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/>
    </xf>
    <xf numFmtId="1" fontId="18" fillId="0" borderId="1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8" fillId="0" borderId="13" xfId="0" applyFont="1" applyBorder="1" applyAlignment="1">
      <alignment wrapText="1"/>
    </xf>
    <xf numFmtId="0" fontId="0" fillId="0" borderId="13" xfId="0" applyNumberForma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3" fontId="11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6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1" fontId="1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9" fontId="0" fillId="0" borderId="0" xfId="19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3" fontId="6" fillId="4" borderId="13" xfId="0" applyNumberFormat="1" applyFont="1" applyFill="1" applyBorder="1" applyAlignment="1">
      <alignment/>
    </xf>
    <xf numFmtId="4" fontId="1" fillId="4" borderId="13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1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0" fillId="0" borderId="13" xfId="0" applyFont="1" applyBorder="1" applyAlignment="1">
      <alignment/>
    </xf>
    <xf numFmtId="4" fontId="25" fillId="0" borderId="13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20" fillId="0" borderId="13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right"/>
    </xf>
    <xf numFmtId="1" fontId="2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20" fillId="4" borderId="13" xfId="0" applyFont="1" applyFill="1" applyBorder="1" applyAlignment="1">
      <alignment/>
    </xf>
    <xf numFmtId="4" fontId="25" fillId="4" borderId="13" xfId="0" applyNumberFormat="1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3" fontId="0" fillId="4" borderId="13" xfId="0" applyNumberFormat="1" applyFill="1" applyBorder="1" applyAlignment="1">
      <alignment/>
    </xf>
    <xf numFmtId="2" fontId="0" fillId="4" borderId="13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3" fontId="18" fillId="0" borderId="13" xfId="0" applyNumberFormat="1" applyFont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0" fillId="0" borderId="17" xfId="0" applyBorder="1" applyAlignment="1">
      <alignment/>
    </xf>
    <xf numFmtId="4" fontId="2" fillId="0" borderId="18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15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4" fontId="15" fillId="0" borderId="18" xfId="0" applyNumberFormat="1" applyFont="1" applyFill="1" applyBorder="1" applyAlignment="1">
      <alignment/>
    </xf>
    <xf numFmtId="4" fontId="25" fillId="4" borderId="18" xfId="0" applyNumberFormat="1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4" borderId="13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2" borderId="13" xfId="0" applyNumberFormat="1" applyFont="1" applyFill="1" applyBorder="1" applyAlignment="1">
      <alignment/>
    </xf>
    <xf numFmtId="0" fontId="16" fillId="0" borderId="13" xfId="0" applyFont="1" applyBorder="1" applyAlignment="1">
      <alignment/>
    </xf>
    <xf numFmtId="178" fontId="0" fillId="0" borderId="13" xfId="19" applyNumberFormat="1" applyBorder="1" applyAlignment="1">
      <alignment/>
    </xf>
    <xf numFmtId="0" fontId="5" fillId="0" borderId="0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20" fillId="0" borderId="13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justify"/>
    </xf>
    <xf numFmtId="0" fontId="0" fillId="0" borderId="13" xfId="0" applyBorder="1" applyAlignment="1">
      <alignment wrapText="1"/>
    </xf>
    <xf numFmtId="0" fontId="22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Continuous"/>
    </xf>
    <xf numFmtId="14" fontId="6" fillId="0" borderId="13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1" fillId="4" borderId="13" xfId="0" applyFont="1" applyFill="1" applyBorder="1" applyAlignment="1">
      <alignment wrapText="1"/>
    </xf>
    <xf numFmtId="0" fontId="0" fillId="0" borderId="13" xfId="0" applyBorder="1" applyAlignment="1">
      <alignment vertical="top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5.emf" /><Relationship Id="rId3" Type="http://schemas.openxmlformats.org/officeDocument/2006/relationships/image" Target="../media/image36.emf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19.emf" /><Relationship Id="rId7" Type="http://schemas.openxmlformats.org/officeDocument/2006/relationships/image" Target="../media/image18.emf" /><Relationship Id="rId8" Type="http://schemas.openxmlformats.org/officeDocument/2006/relationships/image" Target="../media/image14.emf" /><Relationship Id="rId9" Type="http://schemas.openxmlformats.org/officeDocument/2006/relationships/image" Target="../media/image3.emf" /><Relationship Id="rId10" Type="http://schemas.openxmlformats.org/officeDocument/2006/relationships/image" Target="../media/image15.emf" /><Relationship Id="rId11" Type="http://schemas.openxmlformats.org/officeDocument/2006/relationships/image" Target="../media/image33.emf" /><Relationship Id="rId12" Type="http://schemas.openxmlformats.org/officeDocument/2006/relationships/image" Target="../media/image39.emf" /><Relationship Id="rId13" Type="http://schemas.openxmlformats.org/officeDocument/2006/relationships/image" Target="../media/image24.emf" /><Relationship Id="rId14" Type="http://schemas.openxmlformats.org/officeDocument/2006/relationships/image" Target="../media/image8.emf" /><Relationship Id="rId15" Type="http://schemas.openxmlformats.org/officeDocument/2006/relationships/image" Target="../media/image26.emf" /><Relationship Id="rId16" Type="http://schemas.openxmlformats.org/officeDocument/2006/relationships/image" Target="../media/image9.emf" /><Relationship Id="rId17" Type="http://schemas.openxmlformats.org/officeDocument/2006/relationships/image" Target="../media/image28.emf" /><Relationship Id="rId18" Type="http://schemas.openxmlformats.org/officeDocument/2006/relationships/image" Target="../media/image30.emf" /><Relationship Id="rId19" Type="http://schemas.openxmlformats.org/officeDocument/2006/relationships/image" Target="../media/image23.emf" /><Relationship Id="rId20" Type="http://schemas.openxmlformats.org/officeDocument/2006/relationships/image" Target="../media/image12.emf" /><Relationship Id="rId21" Type="http://schemas.openxmlformats.org/officeDocument/2006/relationships/image" Target="../media/image21.emf" /><Relationship Id="rId22" Type="http://schemas.openxmlformats.org/officeDocument/2006/relationships/image" Target="../media/image20.emf" /><Relationship Id="rId2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Relationship Id="rId3" Type="http://schemas.openxmlformats.org/officeDocument/2006/relationships/image" Target="../media/image5.emf" /><Relationship Id="rId4" Type="http://schemas.openxmlformats.org/officeDocument/2006/relationships/image" Target="../media/image25.emf" /><Relationship Id="rId5" Type="http://schemas.openxmlformats.org/officeDocument/2006/relationships/image" Target="../media/image13.emf" /><Relationship Id="rId6" Type="http://schemas.openxmlformats.org/officeDocument/2006/relationships/image" Target="../media/image27.emf" /><Relationship Id="rId7" Type="http://schemas.openxmlformats.org/officeDocument/2006/relationships/image" Target="../media/image29.emf" /><Relationship Id="rId8" Type="http://schemas.openxmlformats.org/officeDocument/2006/relationships/image" Target="../media/image31.emf" /><Relationship Id="rId9" Type="http://schemas.openxmlformats.org/officeDocument/2006/relationships/image" Target="../media/image16.emf" /><Relationship Id="rId10" Type="http://schemas.openxmlformats.org/officeDocument/2006/relationships/image" Target="../media/image2.emf" /><Relationship Id="rId11" Type="http://schemas.openxmlformats.org/officeDocument/2006/relationships/image" Target="../media/image4.emf" /><Relationship Id="rId12" Type="http://schemas.openxmlformats.org/officeDocument/2006/relationships/image" Target="../media/image6.emf" /><Relationship Id="rId13" Type="http://schemas.openxmlformats.org/officeDocument/2006/relationships/image" Target="../media/image34.emf" /><Relationship Id="rId14" Type="http://schemas.openxmlformats.org/officeDocument/2006/relationships/image" Target="../media/image32.emf" /><Relationship Id="rId15" Type="http://schemas.openxmlformats.org/officeDocument/2006/relationships/image" Target="../media/image22.emf" /><Relationship Id="rId16" Type="http://schemas.openxmlformats.org/officeDocument/2006/relationships/image" Target="../media/image17.emf" /><Relationship Id="rId17" Type="http://schemas.openxmlformats.org/officeDocument/2006/relationships/image" Target="../media/image40.emf" /><Relationship Id="rId18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733425</xdr:colOff>
      <xdr:row>73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733425</xdr:colOff>
      <xdr:row>73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52525" y="141827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190500</xdr:colOff>
      <xdr:row>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9050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190500</xdr:colOff>
      <xdr:row>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9050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2860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00025"/>
          <a:ext cx="1905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914400</xdr:colOff>
      <xdr:row>74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66675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1316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19050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00025"/>
          <a:ext cx="1905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000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00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A1" sqref="A1:P43"/>
    </sheetView>
  </sheetViews>
  <sheetFormatPr defaultColWidth="9.140625" defaultRowHeight="12.75"/>
  <cols>
    <col min="1" max="1" width="3.8515625" style="0" customWidth="1"/>
    <col min="2" max="2" width="31.140625" style="0" customWidth="1"/>
    <col min="3" max="3" width="10.7109375" style="0" customWidth="1"/>
    <col min="4" max="4" width="4.7109375" style="0" customWidth="1"/>
    <col min="5" max="5" width="10.8515625" style="0" customWidth="1"/>
    <col min="6" max="6" width="8.28125" style="0" customWidth="1"/>
    <col min="7" max="7" width="10.57421875" style="0" customWidth="1"/>
    <col min="8" max="8" width="6.7109375" style="0" customWidth="1"/>
    <col min="10" max="10" width="7.00390625" style="0" customWidth="1"/>
    <col min="12" max="12" width="6.140625" style="0" customWidth="1"/>
    <col min="14" max="14" width="6.7109375" style="0" customWidth="1"/>
    <col min="15" max="15" width="10.7109375" style="0" customWidth="1"/>
    <col min="16" max="16" width="7.140625" style="0" customWidth="1"/>
  </cols>
  <sheetData>
    <row r="1" spans="2:10" ht="15.75" thickBot="1">
      <c r="B1" s="20" t="s">
        <v>238</v>
      </c>
      <c r="G1" s="16"/>
      <c r="H1" s="16"/>
      <c r="I1" s="16"/>
      <c r="J1" s="16"/>
    </row>
    <row r="2" spans="2:11" ht="12.75" hidden="1">
      <c r="B2" s="2"/>
      <c r="G2" s="13"/>
      <c r="H2" s="13"/>
      <c r="I2" s="13"/>
      <c r="J2" s="13"/>
      <c r="K2" s="1"/>
    </row>
    <row r="3" spans="1:16" ht="12.75">
      <c r="A3" s="145"/>
      <c r="B3" s="146"/>
      <c r="C3" s="146"/>
      <c r="D3" s="146"/>
      <c r="E3" s="147" t="s">
        <v>48</v>
      </c>
      <c r="F3" s="147"/>
      <c r="G3" s="147" t="s">
        <v>49</v>
      </c>
      <c r="H3" s="147"/>
      <c r="I3" s="147" t="s">
        <v>50</v>
      </c>
      <c r="J3" s="147"/>
      <c r="K3" s="147" t="s">
        <v>51</v>
      </c>
      <c r="L3" s="147"/>
      <c r="M3" s="147" t="s">
        <v>52</v>
      </c>
      <c r="N3" s="147"/>
      <c r="O3" s="147" t="s">
        <v>220</v>
      </c>
      <c r="P3" s="148"/>
    </row>
    <row r="4" spans="1:16" ht="12.75">
      <c r="A4" s="149"/>
      <c r="B4" s="61"/>
      <c r="C4" s="61"/>
      <c r="D4" s="61"/>
      <c r="E4" s="102" t="s">
        <v>215</v>
      </c>
      <c r="F4" s="102" t="s">
        <v>216</v>
      </c>
      <c r="G4" s="102" t="s">
        <v>215</v>
      </c>
      <c r="H4" s="102" t="s">
        <v>216</v>
      </c>
      <c r="I4" s="102" t="s">
        <v>215</v>
      </c>
      <c r="J4" s="102" t="s">
        <v>216</v>
      </c>
      <c r="K4" s="102" t="s">
        <v>215</v>
      </c>
      <c r="L4" s="102" t="s">
        <v>216</v>
      </c>
      <c r="M4" s="102" t="s">
        <v>215</v>
      </c>
      <c r="N4" s="102" t="s">
        <v>216</v>
      </c>
      <c r="O4" s="102" t="s">
        <v>215</v>
      </c>
      <c r="P4" s="150" t="s">
        <v>216</v>
      </c>
    </row>
    <row r="5" spans="1:16" ht="12.75">
      <c r="A5" s="149"/>
      <c r="B5" s="103" t="s">
        <v>247</v>
      </c>
      <c r="C5" s="103"/>
      <c r="D5" s="103"/>
      <c r="E5" s="104">
        <f>RAHA!B10</f>
        <v>68837.1203659322</v>
      </c>
      <c r="F5" s="105"/>
      <c r="G5" s="106">
        <f>85109+8205</f>
        <v>93314</v>
      </c>
      <c r="H5" s="105"/>
      <c r="I5" s="106">
        <f>86566+8560</f>
        <v>95126</v>
      </c>
      <c r="J5" s="105"/>
      <c r="K5" s="106">
        <f>88765+8954</f>
        <v>97719</v>
      </c>
      <c r="L5" s="105"/>
      <c r="M5" s="106">
        <f>90593+9352</f>
        <v>99945</v>
      </c>
      <c r="N5" s="105"/>
      <c r="O5" s="106">
        <f>SUM(E5:N5)</f>
        <v>454941.12036593223</v>
      </c>
      <c r="P5" s="151"/>
    </row>
    <row r="6" spans="1:16" ht="12.75">
      <c r="A6" s="149" t="s">
        <v>111</v>
      </c>
      <c r="B6" s="107" t="s">
        <v>6</v>
      </c>
      <c r="C6" s="107" t="s">
        <v>177</v>
      </c>
      <c r="D6" s="107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152"/>
    </row>
    <row r="7" spans="1:16" ht="24">
      <c r="A7" s="153" t="s">
        <v>230</v>
      </c>
      <c r="B7" s="109" t="s">
        <v>286</v>
      </c>
      <c r="C7" s="110" t="s">
        <v>139</v>
      </c>
      <c r="D7" s="111">
        <v>1.05</v>
      </c>
      <c r="E7" s="71">
        <f>'2.1 töötasu'!D7/2/1000</f>
        <v>16795.8</v>
      </c>
      <c r="F7" s="112">
        <f aca="true" t="shared" si="0" ref="F7:F16">ROUND(E7/$E$39*1000,2)</f>
        <v>9.36</v>
      </c>
      <c r="G7" s="71">
        <f>(E7*2)*D7</f>
        <v>35271.18</v>
      </c>
      <c r="H7" s="112">
        <f aca="true" t="shared" si="1" ref="H7:H16">ROUND(G7/$G$39*1000,2)</f>
        <v>9.95</v>
      </c>
      <c r="I7" s="71">
        <f>G7*D7</f>
        <v>37034.739</v>
      </c>
      <c r="J7" s="112">
        <f aca="true" t="shared" si="2" ref="J7:J16">ROUND(I7/$I$39*1000,2)</f>
        <v>10.58</v>
      </c>
      <c r="K7" s="71">
        <f>I7*D7</f>
        <v>38886.47595</v>
      </c>
      <c r="L7" s="112">
        <f aca="true" t="shared" si="3" ref="L7:L16">ROUND(K7/$K$39*1000,2)</f>
        <v>10.93</v>
      </c>
      <c r="M7" s="71">
        <f>K7*D7</f>
        <v>40830.7997475</v>
      </c>
      <c r="N7" s="112">
        <f aca="true" t="shared" si="4" ref="N7:N16">ROUND(M7/$M$39*1000,2)</f>
        <v>11.53</v>
      </c>
      <c r="O7" s="71">
        <f>E7+G7+I7+K7+M7</f>
        <v>168818.99469750002</v>
      </c>
      <c r="P7" s="154">
        <f>ROUND(O7/$O$39*1000,2)</f>
        <v>10.59</v>
      </c>
    </row>
    <row r="8" spans="1:16" ht="12.75">
      <c r="A8" s="153" t="s">
        <v>233</v>
      </c>
      <c r="B8" s="108" t="s">
        <v>287</v>
      </c>
      <c r="C8" s="111" t="s">
        <v>219</v>
      </c>
      <c r="D8" s="113">
        <v>13</v>
      </c>
      <c r="E8" s="71">
        <f>(0.49*E39*$D$8)/1000</f>
        <v>11427.68445</v>
      </c>
      <c r="F8" s="112">
        <f t="shared" si="0"/>
        <v>6.37</v>
      </c>
      <c r="G8" s="71">
        <f>(0.49*G39*$D$8)/1000</f>
        <v>22581.28054</v>
      </c>
      <c r="H8" s="112">
        <f t="shared" si="1"/>
        <v>6.37</v>
      </c>
      <c r="I8" s="71">
        <f>(0.49*I39*$D$8)/1000</f>
        <v>22290.955049999997</v>
      </c>
      <c r="J8" s="112">
        <f t="shared" si="2"/>
        <v>6.37</v>
      </c>
      <c r="K8" s="71">
        <f>(0.49*K39*$D$8)/1000</f>
        <v>22654.95596</v>
      </c>
      <c r="L8" s="112">
        <f t="shared" si="3"/>
        <v>6.37</v>
      </c>
      <c r="M8" s="71">
        <f>(0.49*M39*$D$8)/1000</f>
        <v>22556.456650000004</v>
      </c>
      <c r="N8" s="112">
        <f t="shared" si="4"/>
        <v>6.37</v>
      </c>
      <c r="O8" s="71">
        <f aca="true" t="shared" si="5" ref="O8:O16">E8+G8+I8+K8+M8</f>
        <v>101511.33265</v>
      </c>
      <c r="P8" s="154">
        <f aca="true" t="shared" si="6" ref="P8:P16">ROUND(O8/$O$39*1000,2)</f>
        <v>6.37</v>
      </c>
    </row>
    <row r="9" spans="1:16" ht="12.75">
      <c r="A9" s="153"/>
      <c r="B9" s="108" t="s">
        <v>257</v>
      </c>
      <c r="C9" s="111" t="s">
        <v>258</v>
      </c>
      <c r="D9" s="113">
        <v>13</v>
      </c>
      <c r="E9" s="71">
        <f>(0.4*E41*$D$9)/1000</f>
        <v>373.14888000000076</v>
      </c>
      <c r="F9" s="112">
        <f t="shared" si="0"/>
        <v>0.21</v>
      </c>
      <c r="G9" s="71">
        <f>(0.4*G41*$D$9)/1000</f>
        <v>737.347936</v>
      </c>
      <c r="H9" s="112">
        <f t="shared" si="1"/>
        <v>0.21</v>
      </c>
      <c r="I9" s="71">
        <f>(0.4*I41*$D$9)/1000</f>
        <v>727.86792</v>
      </c>
      <c r="J9" s="112">
        <f t="shared" si="2"/>
        <v>0.21</v>
      </c>
      <c r="K9" s="71">
        <f>(0.4*K41*$D$9)/1000</f>
        <v>739.7536640000001</v>
      </c>
      <c r="L9" s="112">
        <f t="shared" si="3"/>
        <v>0.21</v>
      </c>
      <c r="M9" s="71">
        <f>(0.4*M41*$D$9)/1000</f>
        <v>736.53736</v>
      </c>
      <c r="N9" s="112">
        <f t="shared" si="4"/>
        <v>0.21</v>
      </c>
      <c r="O9" s="71">
        <f>E9+G9+I9+K9+M9</f>
        <v>3314.6557600000015</v>
      </c>
      <c r="P9" s="154">
        <f t="shared" si="6"/>
        <v>0.21</v>
      </c>
    </row>
    <row r="10" spans="1:16" ht="12.75">
      <c r="A10" s="153" t="s">
        <v>232</v>
      </c>
      <c r="B10" s="114" t="s">
        <v>4</v>
      </c>
      <c r="C10" s="115"/>
      <c r="D10" s="115"/>
      <c r="E10" s="71">
        <f aca="true" t="shared" si="7" ref="E10:E16">G10/2</f>
        <v>1500</v>
      </c>
      <c r="F10" s="112">
        <f t="shared" si="0"/>
        <v>0.84</v>
      </c>
      <c r="G10" s="71">
        <v>3000</v>
      </c>
      <c r="H10" s="112">
        <f t="shared" si="1"/>
        <v>0.85</v>
      </c>
      <c r="I10" s="71">
        <f>G10</f>
        <v>3000</v>
      </c>
      <c r="J10" s="112">
        <f t="shared" si="2"/>
        <v>0.86</v>
      </c>
      <c r="K10" s="71">
        <f>I10</f>
        <v>3000</v>
      </c>
      <c r="L10" s="112">
        <f t="shared" si="3"/>
        <v>0.84</v>
      </c>
      <c r="M10" s="71">
        <f>K10</f>
        <v>3000</v>
      </c>
      <c r="N10" s="112">
        <f t="shared" si="4"/>
        <v>0.85</v>
      </c>
      <c r="O10" s="71">
        <f t="shared" si="5"/>
        <v>13500</v>
      </c>
      <c r="P10" s="154">
        <f t="shared" si="6"/>
        <v>0.85</v>
      </c>
    </row>
    <row r="11" spans="1:16" ht="12.75">
      <c r="A11" s="153" t="s">
        <v>231</v>
      </c>
      <c r="B11" s="114" t="s">
        <v>39</v>
      </c>
      <c r="C11" s="115"/>
      <c r="D11" s="115"/>
      <c r="E11" s="71">
        <f t="shared" si="7"/>
        <v>750</v>
      </c>
      <c r="F11" s="112">
        <f t="shared" si="0"/>
        <v>0.42</v>
      </c>
      <c r="G11" s="71">
        <v>1500</v>
      </c>
      <c r="H11" s="112">
        <f t="shared" si="1"/>
        <v>0.42</v>
      </c>
      <c r="I11" s="71">
        <f>G11</f>
        <v>1500</v>
      </c>
      <c r="J11" s="112">
        <f t="shared" si="2"/>
        <v>0.43</v>
      </c>
      <c r="K11" s="71">
        <f>I11</f>
        <v>1500</v>
      </c>
      <c r="L11" s="112">
        <f t="shared" si="3"/>
        <v>0.42</v>
      </c>
      <c r="M11" s="71">
        <f>K11</f>
        <v>1500</v>
      </c>
      <c r="N11" s="112">
        <f t="shared" si="4"/>
        <v>0.42</v>
      </c>
      <c r="O11" s="71">
        <f t="shared" si="5"/>
        <v>6750</v>
      </c>
      <c r="P11" s="154">
        <f t="shared" si="6"/>
        <v>0.42</v>
      </c>
    </row>
    <row r="12" spans="1:16" ht="12.75">
      <c r="A12" s="153" t="s">
        <v>234</v>
      </c>
      <c r="B12" s="114" t="s">
        <v>279</v>
      </c>
      <c r="C12" s="115"/>
      <c r="D12" s="115"/>
      <c r="E12" s="71">
        <f>6*20+6*25</f>
        <v>270</v>
      </c>
      <c r="F12" s="112">
        <f t="shared" si="0"/>
        <v>0.15</v>
      </c>
      <c r="G12" s="71"/>
      <c r="H12" s="112"/>
      <c r="I12" s="71"/>
      <c r="J12" s="112"/>
      <c r="K12" s="71"/>
      <c r="L12" s="112"/>
      <c r="M12" s="71"/>
      <c r="N12" s="112"/>
      <c r="O12" s="71"/>
      <c r="P12" s="154"/>
    </row>
    <row r="13" spans="1:16" ht="12.75">
      <c r="A13" s="153" t="s">
        <v>235</v>
      </c>
      <c r="B13" s="108" t="s">
        <v>5</v>
      </c>
      <c r="C13" s="111"/>
      <c r="D13" s="111"/>
      <c r="E13" s="71">
        <f t="shared" si="7"/>
        <v>300</v>
      </c>
      <c r="F13" s="112">
        <f t="shared" si="0"/>
        <v>0.17</v>
      </c>
      <c r="G13" s="71">
        <v>600</v>
      </c>
      <c r="H13" s="112">
        <f t="shared" si="1"/>
        <v>0.17</v>
      </c>
      <c r="I13" s="71">
        <f>G13</f>
        <v>600</v>
      </c>
      <c r="J13" s="112">
        <f t="shared" si="2"/>
        <v>0.17</v>
      </c>
      <c r="K13" s="71">
        <f>I13</f>
        <v>600</v>
      </c>
      <c r="L13" s="112">
        <f t="shared" si="3"/>
        <v>0.17</v>
      </c>
      <c r="M13" s="71">
        <f>K13</f>
        <v>600</v>
      </c>
      <c r="N13" s="112">
        <f t="shared" si="4"/>
        <v>0.17</v>
      </c>
      <c r="O13" s="71">
        <f t="shared" si="5"/>
        <v>2700</v>
      </c>
      <c r="P13" s="154">
        <f t="shared" si="6"/>
        <v>0.17</v>
      </c>
    </row>
    <row r="14" spans="1:16" ht="12.75">
      <c r="A14" s="153" t="s">
        <v>236</v>
      </c>
      <c r="B14" s="114" t="s">
        <v>40</v>
      </c>
      <c r="C14" s="115" t="s">
        <v>139</v>
      </c>
      <c r="D14" s="115">
        <v>1.05</v>
      </c>
      <c r="E14" s="71">
        <f t="shared" si="7"/>
        <v>1335.666</v>
      </c>
      <c r="F14" s="112">
        <f t="shared" si="0"/>
        <v>0.74</v>
      </c>
      <c r="G14" s="71">
        <f>'2.1 töötasu'!D17/1000</f>
        <v>2671.332</v>
      </c>
      <c r="H14" s="112">
        <f t="shared" si="1"/>
        <v>0.75</v>
      </c>
      <c r="I14" s="71">
        <f>G14*$D$14</f>
        <v>2804.8986</v>
      </c>
      <c r="J14" s="112">
        <f t="shared" si="2"/>
        <v>0.8</v>
      </c>
      <c r="K14" s="71">
        <f>I14*$D$14</f>
        <v>2945.1435300000003</v>
      </c>
      <c r="L14" s="112">
        <f t="shared" si="3"/>
        <v>0.83</v>
      </c>
      <c r="M14" s="71">
        <f>K14*$D$14</f>
        <v>3092.4007065000005</v>
      </c>
      <c r="N14" s="112">
        <f t="shared" si="4"/>
        <v>0.87</v>
      </c>
      <c r="O14" s="71">
        <f t="shared" si="5"/>
        <v>12849.440836500002</v>
      </c>
      <c r="P14" s="154">
        <f t="shared" si="6"/>
        <v>0.81</v>
      </c>
    </row>
    <row r="15" spans="1:16" ht="12.75">
      <c r="A15" s="153" t="s">
        <v>237</v>
      </c>
      <c r="B15" s="114" t="s">
        <v>166</v>
      </c>
      <c r="C15" s="115" t="s">
        <v>195</v>
      </c>
      <c r="D15" s="115"/>
      <c r="E15" s="71">
        <f t="shared" si="7"/>
        <v>30</v>
      </c>
      <c r="F15" s="112">
        <f t="shared" si="0"/>
        <v>0.02</v>
      </c>
      <c r="G15" s="71">
        <f>600*100/1000</f>
        <v>60</v>
      </c>
      <c r="H15" s="112">
        <f t="shared" si="1"/>
        <v>0.02</v>
      </c>
      <c r="I15" s="71">
        <f>G15</f>
        <v>60</v>
      </c>
      <c r="J15" s="112">
        <f t="shared" si="2"/>
        <v>0.02</v>
      </c>
      <c r="K15" s="71">
        <f>I15</f>
        <v>60</v>
      </c>
      <c r="L15" s="112">
        <f t="shared" si="3"/>
        <v>0.02</v>
      </c>
      <c r="M15" s="71">
        <f>K15</f>
        <v>60</v>
      </c>
      <c r="N15" s="112">
        <f t="shared" si="4"/>
        <v>0.02</v>
      </c>
      <c r="O15" s="71">
        <f t="shared" si="5"/>
        <v>270</v>
      </c>
      <c r="P15" s="154">
        <f t="shared" si="6"/>
        <v>0.02</v>
      </c>
    </row>
    <row r="16" spans="1:16" ht="12.75">
      <c r="A16" s="153" t="s">
        <v>278</v>
      </c>
      <c r="B16" s="114" t="s">
        <v>41</v>
      </c>
      <c r="C16" s="115"/>
      <c r="D16" s="115"/>
      <c r="E16" s="71">
        <f t="shared" si="7"/>
        <v>700</v>
      </c>
      <c r="F16" s="112">
        <f t="shared" si="0"/>
        <v>0.39</v>
      </c>
      <c r="G16" s="71">
        <v>1400</v>
      </c>
      <c r="H16" s="112">
        <f t="shared" si="1"/>
        <v>0.39</v>
      </c>
      <c r="I16" s="71">
        <f>G16</f>
        <v>1400</v>
      </c>
      <c r="J16" s="112">
        <f t="shared" si="2"/>
        <v>0.4</v>
      </c>
      <c r="K16" s="71">
        <f>I16</f>
        <v>1400</v>
      </c>
      <c r="L16" s="112">
        <f t="shared" si="3"/>
        <v>0.39</v>
      </c>
      <c r="M16" s="71">
        <f>K16</f>
        <v>1400</v>
      </c>
      <c r="N16" s="112">
        <f t="shared" si="4"/>
        <v>0.4</v>
      </c>
      <c r="O16" s="71">
        <f t="shared" si="5"/>
        <v>6300</v>
      </c>
      <c r="P16" s="154">
        <f t="shared" si="6"/>
        <v>0.4</v>
      </c>
    </row>
    <row r="17" spans="1:17" ht="12.75">
      <c r="A17" s="149"/>
      <c r="B17" s="116" t="s">
        <v>3</v>
      </c>
      <c r="C17" s="117"/>
      <c r="D17" s="117"/>
      <c r="E17" s="74">
        <f aca="true" t="shared" si="8" ref="E17:N17">SUM(E7:E16)</f>
        <v>33482.29933</v>
      </c>
      <c r="F17" s="118">
        <f t="shared" si="8"/>
        <v>18.67</v>
      </c>
      <c r="G17" s="74">
        <f t="shared" si="8"/>
        <v>67821.140476</v>
      </c>
      <c r="H17" s="118">
        <f t="shared" si="8"/>
        <v>19.130000000000006</v>
      </c>
      <c r="I17" s="74">
        <f t="shared" si="8"/>
        <v>69418.46057</v>
      </c>
      <c r="J17" s="118">
        <f t="shared" si="8"/>
        <v>19.84</v>
      </c>
      <c r="K17" s="74">
        <f t="shared" si="8"/>
        <v>71786.329104</v>
      </c>
      <c r="L17" s="118">
        <f t="shared" si="8"/>
        <v>20.180000000000003</v>
      </c>
      <c r="M17" s="74">
        <f t="shared" si="8"/>
        <v>73776.19446400001</v>
      </c>
      <c r="N17" s="118">
        <f t="shared" si="8"/>
        <v>20.840000000000003</v>
      </c>
      <c r="O17" s="74">
        <f>SUM(O7:O16)</f>
        <v>316014.42394400004</v>
      </c>
      <c r="P17" s="155">
        <f>SUM(P7:P16)</f>
        <v>19.840000000000003</v>
      </c>
      <c r="Q17" s="2"/>
    </row>
    <row r="18" spans="1:17" ht="12.75">
      <c r="A18" s="149"/>
      <c r="B18" s="116"/>
      <c r="C18" s="117"/>
      <c r="D18" s="117"/>
      <c r="E18" s="74"/>
      <c r="F18" s="118"/>
      <c r="G18" s="74"/>
      <c r="H18" s="118"/>
      <c r="I18" s="74"/>
      <c r="J18" s="118"/>
      <c r="K18" s="74"/>
      <c r="L18" s="118"/>
      <c r="M18" s="74"/>
      <c r="N18" s="118"/>
      <c r="O18" s="74"/>
      <c r="P18" s="156"/>
      <c r="Q18" s="2"/>
    </row>
    <row r="19" spans="1:19" ht="12.75">
      <c r="A19" s="149" t="s">
        <v>112</v>
      </c>
      <c r="B19" s="119" t="s">
        <v>7</v>
      </c>
      <c r="C19" s="120"/>
      <c r="D19" s="120"/>
      <c r="E19" s="71"/>
      <c r="F19" s="121"/>
      <c r="G19" s="71"/>
      <c r="H19" s="121"/>
      <c r="I19" s="71"/>
      <c r="J19" s="121"/>
      <c r="K19" s="71"/>
      <c r="L19" s="121"/>
      <c r="M19" s="71"/>
      <c r="N19" s="121"/>
      <c r="O19" s="71"/>
      <c r="P19" s="157"/>
      <c r="S19" s="44"/>
    </row>
    <row r="20" spans="1:16" ht="12.75">
      <c r="A20" s="153" t="s">
        <v>8</v>
      </c>
      <c r="B20" s="122" t="s">
        <v>223</v>
      </c>
      <c r="C20" s="110" t="s">
        <v>139</v>
      </c>
      <c r="D20" s="123">
        <v>1.05</v>
      </c>
      <c r="E20" s="93">
        <f>G20/2+133</f>
        <v>2284.462</v>
      </c>
      <c r="F20" s="112">
        <f aca="true" t="shared" si="9" ref="F20:F27">ROUND(E20/$E$39*1000,2)</f>
        <v>1.27</v>
      </c>
      <c r="G20" s="71">
        <f>'2.1 töötasu'!D30/1000</f>
        <v>4302.924</v>
      </c>
      <c r="H20" s="112">
        <f aca="true" t="shared" si="10" ref="H20:H27">ROUND(G20/$G$39*1000,2)</f>
        <v>1.21</v>
      </c>
      <c r="I20" s="71">
        <f>G20*$D$20</f>
        <v>4518.0702</v>
      </c>
      <c r="J20" s="112">
        <f aca="true" t="shared" si="11" ref="J20:J27">ROUND(I20/$I$39*1000,2)</f>
        <v>1.29</v>
      </c>
      <c r="K20" s="71">
        <f>I20*$D$20</f>
        <v>4743.97371</v>
      </c>
      <c r="L20" s="112">
        <f aca="true" t="shared" si="12" ref="L20:L27">ROUND(K20/$K$39*1000,2)</f>
        <v>1.33</v>
      </c>
      <c r="M20" s="71">
        <f>K20*$D$20</f>
        <v>4981.172395500001</v>
      </c>
      <c r="N20" s="112">
        <f aca="true" t="shared" si="13" ref="N20:N27">ROUND(M20/$M$39*1000,2)</f>
        <v>1.41</v>
      </c>
      <c r="O20" s="71">
        <f>E20+G20+I20+K20+M20</f>
        <v>20830.6023055</v>
      </c>
      <c r="P20" s="154">
        <f>ROUND(O20/$O$39*1000,2)</f>
        <v>1.31</v>
      </c>
    </row>
    <row r="21" spans="1:16" ht="12.75">
      <c r="A21" s="153" t="s">
        <v>9</v>
      </c>
      <c r="B21" s="122" t="s">
        <v>14</v>
      </c>
      <c r="C21" s="110" t="s">
        <v>138</v>
      </c>
      <c r="D21" s="110"/>
      <c r="E21" s="71">
        <f>G21/2</f>
        <v>129.91525423728817</v>
      </c>
      <c r="F21" s="112">
        <f t="shared" si="9"/>
        <v>0.07</v>
      </c>
      <c r="G21" s="71">
        <f>'2.2 rent-kommun'!D9/1000</f>
        <v>259.83050847457633</v>
      </c>
      <c r="H21" s="112">
        <f t="shared" si="10"/>
        <v>0.07</v>
      </c>
      <c r="I21" s="71">
        <f>G21</f>
        <v>259.83050847457633</v>
      </c>
      <c r="J21" s="112">
        <f t="shared" si="11"/>
        <v>0.07</v>
      </c>
      <c r="K21" s="71">
        <f>I21</f>
        <v>259.83050847457633</v>
      </c>
      <c r="L21" s="112">
        <f t="shared" si="12"/>
        <v>0.07</v>
      </c>
      <c r="M21" s="71">
        <f>K21</f>
        <v>259.83050847457633</v>
      </c>
      <c r="N21" s="112">
        <f t="shared" si="13"/>
        <v>0.07</v>
      </c>
      <c r="O21" s="71">
        <f aca="true" t="shared" si="14" ref="O21:O27">E21+G21+I21+K21+M21</f>
        <v>1169.2372881355936</v>
      </c>
      <c r="P21" s="154">
        <f aca="true" t="shared" si="15" ref="P21:P27">ROUND(O21/$O$39*1000,2)</f>
        <v>0.07</v>
      </c>
    </row>
    <row r="22" spans="1:16" ht="12.75">
      <c r="A22" s="153" t="s">
        <v>10</v>
      </c>
      <c r="B22" s="122" t="s">
        <v>13</v>
      </c>
      <c r="C22" s="110" t="s">
        <v>138</v>
      </c>
      <c r="D22" s="110"/>
      <c r="E22" s="71">
        <f>G22/2</f>
        <v>261.7125</v>
      </c>
      <c r="F22" s="112">
        <f t="shared" si="9"/>
        <v>0.15</v>
      </c>
      <c r="G22" s="71">
        <f>'2.2 rent-kommun'!F9/1000</f>
        <v>523.425</v>
      </c>
      <c r="H22" s="112">
        <f t="shared" si="10"/>
        <v>0.15</v>
      </c>
      <c r="I22" s="71">
        <f>G22</f>
        <v>523.425</v>
      </c>
      <c r="J22" s="112">
        <f t="shared" si="11"/>
        <v>0.15</v>
      </c>
      <c r="K22" s="71">
        <f>I22</f>
        <v>523.425</v>
      </c>
      <c r="L22" s="112">
        <f t="shared" si="12"/>
        <v>0.15</v>
      </c>
      <c r="M22" s="71">
        <f>K22</f>
        <v>523.425</v>
      </c>
      <c r="N22" s="112">
        <f t="shared" si="13"/>
        <v>0.15</v>
      </c>
      <c r="O22" s="71">
        <f t="shared" si="14"/>
        <v>2355.4125</v>
      </c>
      <c r="P22" s="154">
        <f t="shared" si="15"/>
        <v>0.15</v>
      </c>
    </row>
    <row r="23" spans="1:16" ht="24">
      <c r="A23" s="153" t="s">
        <v>11</v>
      </c>
      <c r="B23" s="109" t="s">
        <v>253</v>
      </c>
      <c r="C23" s="110" t="s">
        <v>192</v>
      </c>
      <c r="D23" s="115"/>
      <c r="E23" s="71">
        <f>'2.4 auto'!AE16/1000+39</f>
        <v>197.47836999999998</v>
      </c>
      <c r="F23" s="112">
        <f t="shared" si="9"/>
        <v>0.11</v>
      </c>
      <c r="G23" s="71">
        <f>'2.4 auto'!AE28/1000+78</f>
        <v>162.76922000000002</v>
      </c>
      <c r="H23" s="112">
        <f t="shared" si="10"/>
        <v>0.05</v>
      </c>
      <c r="I23" s="71">
        <f>'2.4 auto'!AE40/1000+78</f>
        <v>162.22802000000001</v>
      </c>
      <c r="J23" s="112">
        <f t="shared" si="11"/>
        <v>0.05</v>
      </c>
      <c r="K23" s="71">
        <f>'2.4 auto'!AE52/1000+78</f>
        <v>161.66052000000002</v>
      </c>
      <c r="L23" s="112">
        <f t="shared" si="12"/>
        <v>0.05</v>
      </c>
      <c r="M23" s="71">
        <f>'2.4 auto'!AE64/1000+78</f>
        <v>161.06544</v>
      </c>
      <c r="N23" s="112">
        <f t="shared" si="13"/>
        <v>0.05</v>
      </c>
      <c r="O23" s="71">
        <f t="shared" si="14"/>
        <v>845.20157</v>
      </c>
      <c r="P23" s="154">
        <f t="shared" si="15"/>
        <v>0.05</v>
      </c>
    </row>
    <row r="24" spans="1:16" ht="12.75">
      <c r="A24" s="153" t="s">
        <v>12</v>
      </c>
      <c r="B24" s="114" t="s">
        <v>135</v>
      </c>
      <c r="C24" s="115" t="s">
        <v>164</v>
      </c>
      <c r="D24" s="115"/>
      <c r="E24" s="71">
        <f>G24/2</f>
        <v>1056</v>
      </c>
      <c r="F24" s="112">
        <f t="shared" si="9"/>
        <v>0.59</v>
      </c>
      <c r="G24" s="71">
        <f>'2.5 kindl'!H8/1000</f>
        <v>2112</v>
      </c>
      <c r="H24" s="112">
        <f t="shared" si="10"/>
        <v>0.6</v>
      </c>
      <c r="I24" s="71">
        <f>G24</f>
        <v>2112</v>
      </c>
      <c r="J24" s="112">
        <f t="shared" si="11"/>
        <v>0.6</v>
      </c>
      <c r="K24" s="71">
        <f>I24</f>
        <v>2112</v>
      </c>
      <c r="L24" s="112">
        <f t="shared" si="12"/>
        <v>0.59</v>
      </c>
      <c r="M24" s="71">
        <f>K24</f>
        <v>2112</v>
      </c>
      <c r="N24" s="112">
        <f t="shared" si="13"/>
        <v>0.6</v>
      </c>
      <c r="O24" s="71">
        <f t="shared" si="14"/>
        <v>9504</v>
      </c>
      <c r="P24" s="154">
        <f t="shared" si="15"/>
        <v>0.6</v>
      </c>
    </row>
    <row r="25" spans="1:16" ht="12.75">
      <c r="A25" s="153" t="s">
        <v>16</v>
      </c>
      <c r="B25" s="114" t="s">
        <v>15</v>
      </c>
      <c r="C25" s="115" t="s">
        <v>163</v>
      </c>
      <c r="D25" s="115"/>
      <c r="E25" s="93">
        <f>'2.6 side-arvut'!B14/1000</f>
        <v>283.862</v>
      </c>
      <c r="F25" s="124">
        <f t="shared" si="9"/>
        <v>0.16</v>
      </c>
      <c r="G25" s="93">
        <f>'2.6 side-arvut'!C14/1000</f>
        <v>240</v>
      </c>
      <c r="H25" s="124">
        <f t="shared" si="10"/>
        <v>0.07</v>
      </c>
      <c r="I25" s="93">
        <f>'2.6 side-arvut'!D14/1000</f>
        <v>240</v>
      </c>
      <c r="J25" s="124">
        <f t="shared" si="11"/>
        <v>0.07</v>
      </c>
      <c r="K25" s="93">
        <f>'2.6 side-arvut'!E14/1000</f>
        <v>240</v>
      </c>
      <c r="L25" s="124">
        <f t="shared" si="12"/>
        <v>0.07</v>
      </c>
      <c r="M25" s="93">
        <f>'2.6 side-arvut'!F14/1000</f>
        <v>240</v>
      </c>
      <c r="N25" s="124">
        <f t="shared" si="13"/>
        <v>0.07</v>
      </c>
      <c r="O25" s="93">
        <f t="shared" si="14"/>
        <v>1243.862</v>
      </c>
      <c r="P25" s="158">
        <f t="shared" si="15"/>
        <v>0.08</v>
      </c>
    </row>
    <row r="26" spans="1:16" ht="12.75">
      <c r="A26" s="153" t="s">
        <v>43</v>
      </c>
      <c r="B26" s="114" t="s">
        <v>38</v>
      </c>
      <c r="C26" s="115" t="s">
        <v>222</v>
      </c>
      <c r="D26" s="115"/>
      <c r="E26" s="71">
        <f>('4.invest'!R9+'2.4 auto'!AF16)/1000+70</f>
        <v>455.1</v>
      </c>
      <c r="F26" s="112">
        <f t="shared" si="9"/>
        <v>0.25</v>
      </c>
      <c r="G26" s="71">
        <v>70</v>
      </c>
      <c r="H26" s="112">
        <f t="shared" si="10"/>
        <v>0.02</v>
      </c>
      <c r="I26" s="71">
        <v>70</v>
      </c>
      <c r="J26" s="112">
        <f t="shared" si="11"/>
        <v>0.02</v>
      </c>
      <c r="K26" s="71">
        <v>70</v>
      </c>
      <c r="L26" s="112">
        <f t="shared" si="12"/>
        <v>0.02</v>
      </c>
      <c r="M26" s="71">
        <v>70</v>
      </c>
      <c r="N26" s="112">
        <f t="shared" si="13"/>
        <v>0.02</v>
      </c>
      <c r="O26" s="71">
        <f t="shared" si="14"/>
        <v>735.1</v>
      </c>
      <c r="P26" s="154">
        <f t="shared" si="15"/>
        <v>0.05</v>
      </c>
    </row>
    <row r="27" spans="1:16" ht="12.75">
      <c r="A27" s="153" t="s">
        <v>44</v>
      </c>
      <c r="B27" s="114" t="s">
        <v>42</v>
      </c>
      <c r="C27" s="115" t="s">
        <v>176</v>
      </c>
      <c r="D27" s="115"/>
      <c r="E27" s="71">
        <f>'2.8.püsikulud '!D27/1000</f>
        <v>918.3661016949152</v>
      </c>
      <c r="F27" s="112">
        <f t="shared" si="9"/>
        <v>0.51</v>
      </c>
      <c r="G27" s="71">
        <f>'2.8.püsikulud '!E27/1000</f>
        <v>930</v>
      </c>
      <c r="H27" s="112">
        <f t="shared" si="10"/>
        <v>0.26</v>
      </c>
      <c r="I27" s="71">
        <f>'2.8.püsikulud '!F27/1000</f>
        <v>930</v>
      </c>
      <c r="J27" s="112">
        <f t="shared" si="11"/>
        <v>0.27</v>
      </c>
      <c r="K27" s="71">
        <f>'2.8.püsikulud '!G27/1000</f>
        <v>930</v>
      </c>
      <c r="L27" s="112">
        <f t="shared" si="12"/>
        <v>0.26</v>
      </c>
      <c r="M27" s="71">
        <f>'2.8.püsikulud '!H27/1000</f>
        <v>930</v>
      </c>
      <c r="N27" s="112">
        <f t="shared" si="13"/>
        <v>0.26</v>
      </c>
      <c r="O27" s="71">
        <f t="shared" si="14"/>
        <v>4638.366101694915</v>
      </c>
      <c r="P27" s="154">
        <f t="shared" si="15"/>
        <v>0.29</v>
      </c>
    </row>
    <row r="28" spans="1:16" ht="12.75">
      <c r="A28" s="149"/>
      <c r="B28" s="116" t="s">
        <v>3</v>
      </c>
      <c r="C28" s="117"/>
      <c r="D28" s="117"/>
      <c r="E28" s="74">
        <f>SUM(E20:E27)</f>
        <v>5586.896225932203</v>
      </c>
      <c r="F28" s="118">
        <f>SUM(F20:F27)</f>
        <v>3.1100000000000003</v>
      </c>
      <c r="G28" s="74">
        <f aca="true" t="shared" si="16" ref="G28:M28">SUM(G20:G27)</f>
        <v>8600.948728474577</v>
      </c>
      <c r="H28" s="118">
        <f>SUM(H20:H27)</f>
        <v>2.4299999999999997</v>
      </c>
      <c r="I28" s="74">
        <f t="shared" si="16"/>
        <v>8815.553728474577</v>
      </c>
      <c r="J28" s="118">
        <f>SUM(J20:J27)</f>
        <v>2.52</v>
      </c>
      <c r="K28" s="74">
        <f t="shared" si="16"/>
        <v>9040.889738474576</v>
      </c>
      <c r="L28" s="118">
        <f>SUM(L20:L27)</f>
        <v>2.54</v>
      </c>
      <c r="M28" s="74">
        <f t="shared" si="16"/>
        <v>9277.493343974576</v>
      </c>
      <c r="N28" s="118">
        <f>SUM(N20:N27)</f>
        <v>2.63</v>
      </c>
      <c r="O28" s="74">
        <f>SUM(O20:O27)</f>
        <v>41321.78176533051</v>
      </c>
      <c r="P28" s="155">
        <f>SUM(P20:P27)</f>
        <v>2.6</v>
      </c>
    </row>
    <row r="29" spans="1:16" ht="12.75">
      <c r="A29" s="149"/>
      <c r="B29" s="116"/>
      <c r="C29" s="117"/>
      <c r="D29" s="117"/>
      <c r="E29" s="71"/>
      <c r="F29" s="118"/>
      <c r="G29" s="74"/>
      <c r="H29" s="118"/>
      <c r="I29" s="74"/>
      <c r="J29" s="118"/>
      <c r="K29" s="74"/>
      <c r="L29" s="118"/>
      <c r="M29" s="74"/>
      <c r="N29" s="118"/>
      <c r="O29" s="71"/>
      <c r="P29" s="157"/>
    </row>
    <row r="30" spans="1:16" ht="12.75">
      <c r="A30" s="149"/>
      <c r="B30" s="116" t="s">
        <v>45</v>
      </c>
      <c r="C30" s="117"/>
      <c r="D30" s="115"/>
      <c r="E30" s="74">
        <f>E17+E28</f>
        <v>39069.19555593221</v>
      </c>
      <c r="F30" s="118">
        <f aca="true" t="shared" si="17" ref="F30:O30">F17+F28</f>
        <v>21.78</v>
      </c>
      <c r="G30" s="74">
        <f t="shared" si="17"/>
        <v>76422.08920447459</v>
      </c>
      <c r="H30" s="118">
        <f>H17+H28</f>
        <v>21.560000000000006</v>
      </c>
      <c r="I30" s="74">
        <f t="shared" si="17"/>
        <v>78234.01429847458</v>
      </c>
      <c r="J30" s="118">
        <f>J17+J28</f>
        <v>22.36</v>
      </c>
      <c r="K30" s="74">
        <f t="shared" si="17"/>
        <v>80827.21884247458</v>
      </c>
      <c r="L30" s="118">
        <f t="shared" si="17"/>
        <v>22.720000000000002</v>
      </c>
      <c r="M30" s="74">
        <f t="shared" si="17"/>
        <v>83053.6878079746</v>
      </c>
      <c r="N30" s="118">
        <f>N17+N28</f>
        <v>23.470000000000002</v>
      </c>
      <c r="O30" s="74">
        <f t="shared" si="17"/>
        <v>357336.20570933056</v>
      </c>
      <c r="P30" s="155">
        <f>P17+P28</f>
        <v>22.440000000000005</v>
      </c>
    </row>
    <row r="31" spans="1:16" ht="12.75">
      <c r="A31" s="149"/>
      <c r="B31" s="116"/>
      <c r="C31" s="117"/>
      <c r="D31" s="117"/>
      <c r="E31" s="71"/>
      <c r="F31" s="96"/>
      <c r="G31" s="71"/>
      <c r="H31" s="96"/>
      <c r="I31" s="71"/>
      <c r="J31" s="96"/>
      <c r="K31" s="71"/>
      <c r="L31" s="96"/>
      <c r="M31" s="71"/>
      <c r="N31" s="96"/>
      <c r="O31" s="71"/>
      <c r="P31" s="157"/>
    </row>
    <row r="32" spans="1:16" ht="12.75">
      <c r="A32" s="149" t="s">
        <v>113</v>
      </c>
      <c r="B32" s="125" t="s">
        <v>46</v>
      </c>
      <c r="C32" s="115" t="s">
        <v>140</v>
      </c>
      <c r="D32" s="117"/>
      <c r="E32" s="71">
        <f>'3.kulum'!H8/1000</f>
        <v>4422.88135615</v>
      </c>
      <c r="F32" s="112">
        <f>ROUND(E32/$E$39*1000,2)</f>
        <v>2.47</v>
      </c>
      <c r="G32" s="71">
        <f>'3.kulum'!I8/1000</f>
        <v>8845.7627123</v>
      </c>
      <c r="H32" s="112">
        <f>ROUND(G32/$G$39*1000,2)</f>
        <v>2.5</v>
      </c>
      <c r="I32" s="71">
        <f>'3.kulum'!J8/1000</f>
        <v>8845.7627123</v>
      </c>
      <c r="J32" s="112">
        <f>ROUND(I32/$I$39*1000,2)</f>
        <v>2.53</v>
      </c>
      <c r="K32" s="71">
        <f>'3.kulum'!K8/1000</f>
        <v>8845.7627123</v>
      </c>
      <c r="L32" s="112">
        <f>ROUND(K32/$K$39*1000,2)</f>
        <v>2.49</v>
      </c>
      <c r="M32" s="71">
        <f>'3.kulum'!L8/1000</f>
        <v>8845.7627123</v>
      </c>
      <c r="N32" s="112">
        <f>ROUND(M32/$M$39*1000,2)</f>
        <v>2.5</v>
      </c>
      <c r="O32" s="71">
        <f>E32+G32+I32+K32+M32</f>
        <v>39805.93220535</v>
      </c>
      <c r="P32" s="154">
        <f>ROUND(O32/$O$39*1000,2)</f>
        <v>2.5</v>
      </c>
    </row>
    <row r="33" spans="1:16" ht="12.75">
      <c r="A33" s="149" t="s">
        <v>114</v>
      </c>
      <c r="B33" s="116" t="s">
        <v>292</v>
      </c>
      <c r="C33" s="115" t="s">
        <v>141</v>
      </c>
      <c r="D33" s="117"/>
      <c r="E33" s="71">
        <f>'4.invest'!F9/1000</f>
        <v>2320.7202699999993</v>
      </c>
      <c r="F33" s="112">
        <f>ROUND(E33/$E$39*1000,2)</f>
        <v>1.29</v>
      </c>
      <c r="G33" s="71">
        <f>'4.invest'!H9/1000</f>
        <v>4115.10798</v>
      </c>
      <c r="H33" s="112">
        <f>ROUND(G33/$G$39*1000,2)</f>
        <v>1.16</v>
      </c>
      <c r="I33" s="71">
        <f>'4.invest'!J9/1000</f>
        <v>3379.7503900000006</v>
      </c>
      <c r="J33" s="112">
        <f>ROUND(I33/$I$39*1000,2)</f>
        <v>0.97</v>
      </c>
      <c r="K33" s="71">
        <f>'4.invest'!L9/1000</f>
        <v>2602.07021</v>
      </c>
      <c r="L33" s="112">
        <f>ROUND(K33/$K$39*1000,2)</f>
        <v>0.73</v>
      </c>
      <c r="M33" s="71">
        <f>'4.invest'!N9/1000</f>
        <v>1779.6306600000003</v>
      </c>
      <c r="N33" s="112">
        <f>ROUND(M33/$M$39*1000,2)</f>
        <v>0.5</v>
      </c>
      <c r="O33" s="71">
        <f>E33+G33+I33+K33+M33</f>
        <v>14197.27951</v>
      </c>
      <c r="P33" s="154">
        <f>ROUND(O33/$O$39*1000,2)</f>
        <v>0.89</v>
      </c>
    </row>
    <row r="34" spans="1:16" ht="12.75">
      <c r="A34" s="149"/>
      <c r="B34" s="116"/>
      <c r="C34" s="115"/>
      <c r="D34" s="117"/>
      <c r="E34" s="71"/>
      <c r="F34" s="112"/>
      <c r="G34" s="71"/>
      <c r="H34" s="112"/>
      <c r="I34" s="71"/>
      <c r="J34" s="112"/>
      <c r="K34" s="71"/>
      <c r="L34" s="112"/>
      <c r="M34" s="71"/>
      <c r="N34" s="112"/>
      <c r="O34" s="71"/>
      <c r="P34" s="154"/>
    </row>
    <row r="35" spans="1:16" ht="12.75">
      <c r="A35" s="149"/>
      <c r="B35" s="116" t="s">
        <v>47</v>
      </c>
      <c r="C35" s="117"/>
      <c r="D35" s="117"/>
      <c r="E35" s="74">
        <f>SUM(E30:E33)</f>
        <v>45812.797182082206</v>
      </c>
      <c r="F35" s="118">
        <f>SUM(F30:F33)</f>
        <v>25.54</v>
      </c>
      <c r="G35" s="74">
        <f aca="true" t="shared" si="18" ref="G35:N35">SUM(G30:G33)</f>
        <v>89382.95989677458</v>
      </c>
      <c r="H35" s="118">
        <f t="shared" si="18"/>
        <v>25.220000000000006</v>
      </c>
      <c r="I35" s="74">
        <f t="shared" si="18"/>
        <v>90459.52740077458</v>
      </c>
      <c r="J35" s="118">
        <f t="shared" si="18"/>
        <v>25.86</v>
      </c>
      <c r="K35" s="74">
        <f t="shared" si="18"/>
        <v>92275.05176477459</v>
      </c>
      <c r="L35" s="118">
        <f t="shared" si="18"/>
        <v>25.94</v>
      </c>
      <c r="M35" s="74">
        <f t="shared" si="18"/>
        <v>93679.08118027459</v>
      </c>
      <c r="N35" s="118">
        <f t="shared" si="18"/>
        <v>26.470000000000002</v>
      </c>
      <c r="O35" s="74">
        <f>SUM(O30:O33)</f>
        <v>411339.4174246806</v>
      </c>
      <c r="P35" s="155">
        <f>SUM(P30:P33)</f>
        <v>25.830000000000005</v>
      </c>
    </row>
    <row r="36" spans="1:17" ht="36">
      <c r="A36" s="149"/>
      <c r="B36" s="186" t="s">
        <v>293</v>
      </c>
      <c r="C36" s="126"/>
      <c r="D36" s="126"/>
      <c r="E36" s="104">
        <f>E5-E35</f>
        <v>23024.32318385</v>
      </c>
      <c r="F36" s="127"/>
      <c r="G36" s="104">
        <f>G5-G35</f>
        <v>3931.040103225416</v>
      </c>
      <c r="H36" s="127"/>
      <c r="I36" s="104">
        <f>I5-I35</f>
        <v>4666.472599225424</v>
      </c>
      <c r="J36" s="127"/>
      <c r="K36" s="104">
        <f>K5-K35</f>
        <v>5443.948235225413</v>
      </c>
      <c r="L36" s="127"/>
      <c r="M36" s="104">
        <f>M5-M35</f>
        <v>6265.918819725412</v>
      </c>
      <c r="N36" s="127"/>
      <c r="O36" s="104">
        <f>E36+G36+I36+K36+M36</f>
        <v>43331.702941251664</v>
      </c>
      <c r="P36" s="159"/>
      <c r="Q36" s="1"/>
    </row>
    <row r="37" spans="1:16" ht="12.75">
      <c r="A37" s="149"/>
      <c r="B37" s="128" t="s">
        <v>285</v>
      </c>
      <c r="C37" s="129"/>
      <c r="D37" s="129"/>
      <c r="E37" s="130"/>
      <c r="F37" s="131">
        <f>(E5-21099)/(E39/1000)</f>
        <v>26.61010006545886</v>
      </c>
      <c r="G37" s="131"/>
      <c r="H37" s="131">
        <f>G5/(G39/1000)</f>
        <v>26.32313871425823</v>
      </c>
      <c r="I37" s="131"/>
      <c r="J37" s="131">
        <f>I5/(I39/1000)</f>
        <v>27.18378905887211</v>
      </c>
      <c r="K37" s="131"/>
      <c r="L37" s="131">
        <f>K5/(K39/1000)</f>
        <v>27.47610858741215</v>
      </c>
      <c r="M37" s="131"/>
      <c r="N37" s="131">
        <f>M5/(M39/1000)</f>
        <v>28.224718974201117</v>
      </c>
      <c r="O37" s="131"/>
      <c r="P37" s="160">
        <f>O5/(O39/1000)</f>
        <v>28.54828974340126</v>
      </c>
    </row>
    <row r="38" spans="1:16" ht="12.75">
      <c r="A38" s="149"/>
      <c r="B38" s="125" t="s">
        <v>217</v>
      </c>
      <c r="C38" s="117"/>
      <c r="D38" s="132"/>
      <c r="E38" s="133"/>
      <c r="F38" s="134">
        <f>F35</f>
        <v>25.54</v>
      </c>
      <c r="G38" s="74"/>
      <c r="H38" s="134">
        <f>H35</f>
        <v>25.220000000000006</v>
      </c>
      <c r="I38" s="74"/>
      <c r="J38" s="134">
        <f>J35</f>
        <v>25.86</v>
      </c>
      <c r="K38" s="74"/>
      <c r="L38" s="134">
        <f>L35</f>
        <v>25.94</v>
      </c>
      <c r="M38" s="74"/>
      <c r="N38" s="134">
        <f>N35</f>
        <v>26.470000000000002</v>
      </c>
      <c r="O38" s="74"/>
      <c r="P38" s="161">
        <f>P35</f>
        <v>25.830000000000005</v>
      </c>
    </row>
    <row r="39" spans="1:16" ht="12.75">
      <c r="A39" s="149"/>
      <c r="B39" s="135" t="s">
        <v>0</v>
      </c>
      <c r="C39" s="117"/>
      <c r="D39" s="117"/>
      <c r="E39" s="136">
        <v>1793985</v>
      </c>
      <c r="F39" s="136"/>
      <c r="G39" s="136">
        <v>3544942</v>
      </c>
      <c r="H39" s="136"/>
      <c r="I39" s="136">
        <v>3499365</v>
      </c>
      <c r="J39" s="136"/>
      <c r="K39" s="136">
        <v>3556508</v>
      </c>
      <c r="L39" s="136"/>
      <c r="M39" s="136">
        <v>3541045</v>
      </c>
      <c r="N39" s="136"/>
      <c r="O39" s="136">
        <f>E39+G39+I39+K39+M39</f>
        <v>15935845</v>
      </c>
      <c r="P39" s="152"/>
    </row>
    <row r="40" spans="1:16" ht="12.75">
      <c r="A40" s="149"/>
      <c r="B40" s="135" t="s">
        <v>221</v>
      </c>
      <c r="C40" s="137"/>
      <c r="D40" s="137"/>
      <c r="E40" s="61"/>
      <c r="F40" s="138">
        <f>E8*1000/($D$8*E39)</f>
        <v>0.49000000000000005</v>
      </c>
      <c r="G40" s="138"/>
      <c r="H40" s="138">
        <f>G8*1000/($D$8*G39)</f>
        <v>0.49</v>
      </c>
      <c r="I40" s="138"/>
      <c r="J40" s="138">
        <f>I8*1000/($D$8*I39)</f>
        <v>0.48999999999999994</v>
      </c>
      <c r="K40" s="138"/>
      <c r="L40" s="138">
        <f>K8*1000/($D$8*K39)</f>
        <v>0.49000000000000005</v>
      </c>
      <c r="M40" s="138"/>
      <c r="N40" s="138">
        <f>M8*1000/($D$8*M39)</f>
        <v>0.49000000000000005</v>
      </c>
      <c r="O40" s="138"/>
      <c r="P40" s="162">
        <f>O8*1000/($D$8*O39)</f>
        <v>0.48999999999999994</v>
      </c>
    </row>
    <row r="41" spans="1:16" ht="12.75">
      <c r="A41" s="149"/>
      <c r="B41" s="139" t="s">
        <v>294</v>
      </c>
      <c r="C41" s="140"/>
      <c r="D41" s="139">
        <v>1.04</v>
      </c>
      <c r="E41" s="141">
        <v>71759.40000000014</v>
      </c>
      <c r="F41" s="141"/>
      <c r="G41" s="141">
        <v>141797.68</v>
      </c>
      <c r="H41" s="141"/>
      <c r="I41" s="141">
        <v>139974.6</v>
      </c>
      <c r="J41" s="141"/>
      <c r="K41" s="141">
        <v>142260.32</v>
      </c>
      <c r="L41" s="141"/>
      <c r="M41" s="141">
        <v>141641.8</v>
      </c>
      <c r="N41" s="133"/>
      <c r="O41" s="141">
        <v>637433.8000000007</v>
      </c>
      <c r="P41" s="152"/>
    </row>
    <row r="42" spans="1:16" ht="12.75">
      <c r="A42" s="149"/>
      <c r="B42" s="139" t="s">
        <v>270</v>
      </c>
      <c r="C42" s="139"/>
      <c r="D42" s="139"/>
      <c r="E42" s="139"/>
      <c r="F42" s="142">
        <f>E9*1000/($D$9*E41)</f>
        <v>0.4</v>
      </c>
      <c r="G42" s="143"/>
      <c r="H42" s="142">
        <f>G9*1000/($D$9*G41)</f>
        <v>0.4</v>
      </c>
      <c r="I42" s="143"/>
      <c r="J42" s="142">
        <f>I9*1000/($D$9*I41)</f>
        <v>0.4</v>
      </c>
      <c r="K42" s="143"/>
      <c r="L42" s="142">
        <f>K9*1000/($D$9*K41)</f>
        <v>0.4</v>
      </c>
      <c r="M42" s="143"/>
      <c r="N42" s="142">
        <f>M9*1000/($D$9*M41)</f>
        <v>0.4</v>
      </c>
      <c r="O42" s="144"/>
      <c r="P42" s="163">
        <f>O9*1000/($D$9*O41)</f>
        <v>0.39999999999999974</v>
      </c>
    </row>
    <row r="43" spans="1:16" ht="13.5" thickBo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6"/>
    </row>
  </sheetData>
  <printOptions/>
  <pageMargins left="0.5905511811023623" right="0.35433070866141736" top="0.984251968503937" bottom="0.34" header="0.5118110236220472" footer="0.17"/>
  <pageSetup horizontalDpi="600" verticalDpi="600" orientation="landscape" paperSize="9" scale="85" r:id="rId3"/>
  <headerFooter alignWithMargins="0">
    <oddHeader>&amp;CPage &amp;P</oddHeader>
    <oddFooter>&amp;C&amp;F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D1">
      <selection activeCell="A1" sqref="A1:N9"/>
    </sheetView>
  </sheetViews>
  <sheetFormatPr defaultColWidth="9.140625" defaultRowHeight="12.75"/>
  <cols>
    <col min="1" max="1" width="18.8515625" style="0" customWidth="1"/>
    <col min="2" max="2" width="6.28125" style="0" customWidth="1"/>
    <col min="4" max="4" width="11.00390625" style="0" customWidth="1"/>
    <col min="5" max="5" width="7.28125" style="0" customWidth="1"/>
    <col min="13" max="13" width="9.8515625" style="0" customWidth="1"/>
    <col min="14" max="14" width="11.00390625" style="0" customWidth="1"/>
  </cols>
  <sheetData>
    <row r="1" ht="15">
      <c r="A1" s="20" t="s">
        <v>115</v>
      </c>
    </row>
    <row r="2" ht="12.75">
      <c r="A2" t="s">
        <v>281</v>
      </c>
    </row>
    <row r="3" spans="1:14" ht="38.25">
      <c r="A3" t="s">
        <v>100</v>
      </c>
      <c r="B3" s="30" t="s">
        <v>106</v>
      </c>
      <c r="C3" s="30" t="s">
        <v>108</v>
      </c>
      <c r="D3" s="30" t="s">
        <v>107</v>
      </c>
      <c r="E3" s="30" t="s">
        <v>116</v>
      </c>
      <c r="F3" s="30" t="s">
        <v>118</v>
      </c>
      <c r="G3" s="30" t="s">
        <v>117</v>
      </c>
      <c r="H3" s="22" t="s">
        <v>101</v>
      </c>
      <c r="I3" s="22" t="s">
        <v>49</v>
      </c>
      <c r="J3" s="22" t="s">
        <v>50</v>
      </c>
      <c r="K3" s="22" t="s">
        <v>51</v>
      </c>
      <c r="L3" s="22" t="s">
        <v>52</v>
      </c>
      <c r="M3" s="30" t="s">
        <v>119</v>
      </c>
      <c r="N3" s="30" t="s">
        <v>109</v>
      </c>
    </row>
    <row r="4" spans="1:14" ht="12.75">
      <c r="A4" t="s">
        <v>102</v>
      </c>
      <c r="B4">
        <f>ASUTAMISKULU!C16</f>
        <v>7</v>
      </c>
      <c r="C4" s="1">
        <f>'liigend-uus'!B11</f>
        <v>3389830.51</v>
      </c>
      <c r="D4" s="1">
        <f>B4*C4</f>
        <v>23728813.57</v>
      </c>
      <c r="E4">
        <v>15</v>
      </c>
      <c r="F4" s="9">
        <f>ROUND((100/15),0)/100</f>
        <v>0.07</v>
      </c>
      <c r="G4" s="1">
        <f>D4*F4</f>
        <v>1661016.9499000001</v>
      </c>
      <c r="H4" s="1">
        <f>G4/2</f>
        <v>830508.4749500001</v>
      </c>
      <c r="I4" s="1">
        <f>$G$4</f>
        <v>1661016.9499000001</v>
      </c>
      <c r="J4" s="1">
        <f>$G$4</f>
        <v>1661016.9499000001</v>
      </c>
      <c r="K4" s="1">
        <f>$G$4</f>
        <v>1661016.9499000001</v>
      </c>
      <c r="L4" s="1">
        <f>$G$4</f>
        <v>1661016.9499000001</v>
      </c>
      <c r="M4" s="1">
        <f>SUM(H4:L4)</f>
        <v>7474576.274550001</v>
      </c>
      <c r="N4" s="1">
        <f>D4-M4</f>
        <v>16254237.295449998</v>
      </c>
    </row>
    <row r="5" spans="1:14" ht="12.75">
      <c r="A5" t="s">
        <v>103</v>
      </c>
      <c r="B5">
        <f>ASUTAMISKULU!C17</f>
        <v>8</v>
      </c>
      <c r="C5" s="1">
        <f>'liigend-kasut'!B11</f>
        <v>1355932.2</v>
      </c>
      <c r="D5" s="1">
        <f>B5*C5</f>
        <v>10847457.6</v>
      </c>
      <c r="E5">
        <v>9</v>
      </c>
      <c r="F5" s="9">
        <f>ROUND((100/9),0)/100</f>
        <v>0.11</v>
      </c>
      <c r="G5" s="1">
        <f>D5*F5</f>
        <v>1193220.336</v>
      </c>
      <c r="H5" s="1">
        <f>G5/2</f>
        <v>596610.168</v>
      </c>
      <c r="I5" s="1">
        <f>$G$5</f>
        <v>1193220.336</v>
      </c>
      <c r="J5" s="1">
        <f>$G$5</f>
        <v>1193220.336</v>
      </c>
      <c r="K5" s="1">
        <f>$G$5</f>
        <v>1193220.336</v>
      </c>
      <c r="L5" s="1">
        <f>$G$5</f>
        <v>1193220.336</v>
      </c>
      <c r="M5" s="1">
        <f>SUM(H5:L5)</f>
        <v>5369491.512</v>
      </c>
      <c r="N5" s="1">
        <f>D5-M5</f>
        <v>5477966.0879999995</v>
      </c>
    </row>
    <row r="6" spans="1:14" ht="12.75">
      <c r="A6" t="s">
        <v>104</v>
      </c>
      <c r="B6">
        <f>ASUTAMISKULU!C18</f>
        <v>19</v>
      </c>
      <c r="C6" s="1">
        <f>'lühike-uus'!B11</f>
        <v>2542372.88</v>
      </c>
      <c r="D6" s="1">
        <f>B6*C6</f>
        <v>48305084.72</v>
      </c>
      <c r="E6">
        <v>15</v>
      </c>
      <c r="F6" s="9">
        <f>ROUND((100/15),0)/100</f>
        <v>0.07</v>
      </c>
      <c r="G6" s="1">
        <f>D6*F6</f>
        <v>3381355.9304000004</v>
      </c>
      <c r="H6" s="1">
        <f>G6/2</f>
        <v>1690677.9652000002</v>
      </c>
      <c r="I6" s="1">
        <f>$G$6</f>
        <v>3381355.9304000004</v>
      </c>
      <c r="J6" s="1">
        <f>$G$6</f>
        <v>3381355.9304000004</v>
      </c>
      <c r="K6" s="1">
        <f>$G$6</f>
        <v>3381355.9304000004</v>
      </c>
      <c r="L6" s="1">
        <f>$G$6</f>
        <v>3381355.9304000004</v>
      </c>
      <c r="M6" s="1">
        <f>SUM(H6:L6)</f>
        <v>15216101.686800003</v>
      </c>
      <c r="N6" s="1">
        <f>D6-M6</f>
        <v>33088983.033199996</v>
      </c>
    </row>
    <row r="7" spans="1:14" ht="12.75">
      <c r="A7" t="s">
        <v>105</v>
      </c>
      <c r="B7">
        <f>ASUTAMISKULU!C19</f>
        <v>20</v>
      </c>
      <c r="C7" s="1">
        <f>'lühike-kasut'!B11</f>
        <v>1186440.68</v>
      </c>
      <c r="D7" s="1">
        <f>B7*C7</f>
        <v>23728813.599999998</v>
      </c>
      <c r="E7">
        <v>9</v>
      </c>
      <c r="F7" s="9">
        <f>ROUND((100/9),0)/100</f>
        <v>0.11</v>
      </c>
      <c r="G7" s="1">
        <f>D7*F7</f>
        <v>2610169.496</v>
      </c>
      <c r="H7" s="1">
        <f>G7/2</f>
        <v>1305084.748</v>
      </c>
      <c r="I7" s="1">
        <f>$G$7</f>
        <v>2610169.496</v>
      </c>
      <c r="J7" s="1">
        <f>$G$7</f>
        <v>2610169.496</v>
      </c>
      <c r="K7" s="1">
        <f>$G$7</f>
        <v>2610169.496</v>
      </c>
      <c r="L7" s="1">
        <f>$G$7</f>
        <v>2610169.496</v>
      </c>
      <c r="M7" s="1">
        <f>SUM(H7:L7)</f>
        <v>11745762.731999999</v>
      </c>
      <c r="N7" s="1">
        <f>D7-M7</f>
        <v>11983050.867999999</v>
      </c>
    </row>
    <row r="8" spans="1:14" ht="12.75">
      <c r="A8" s="23" t="s">
        <v>136</v>
      </c>
      <c r="B8" s="23"/>
      <c r="C8" s="23"/>
      <c r="D8" s="24">
        <f>SUM(D4:D7)</f>
        <v>106610169.49</v>
      </c>
      <c r="E8" s="23"/>
      <c r="F8" s="23"/>
      <c r="G8" s="24">
        <f aca="true" t="shared" si="0" ref="G8:N8">SUM(G4:G7)</f>
        <v>8845762.7123</v>
      </c>
      <c r="H8" s="24">
        <f t="shared" si="0"/>
        <v>4422881.35615</v>
      </c>
      <c r="I8" s="24">
        <f t="shared" si="0"/>
        <v>8845762.7123</v>
      </c>
      <c r="J8" s="24">
        <f t="shared" si="0"/>
        <v>8845762.7123</v>
      </c>
      <c r="K8" s="24">
        <f t="shared" si="0"/>
        <v>8845762.7123</v>
      </c>
      <c r="L8" s="24">
        <f t="shared" si="0"/>
        <v>8845762.7123</v>
      </c>
      <c r="M8" s="24">
        <f t="shared" si="0"/>
        <v>39805932.205350004</v>
      </c>
      <c r="N8" s="24">
        <f t="shared" si="0"/>
        <v>66804237.28465</v>
      </c>
    </row>
    <row r="9" spans="4:13" ht="12.75">
      <c r="D9" s="1"/>
      <c r="G9" s="1"/>
      <c r="H9" s="1"/>
      <c r="I9" s="1"/>
      <c r="J9" s="1"/>
      <c r="K9" s="1"/>
      <c r="L9" s="1"/>
      <c r="M9" s="1"/>
    </row>
    <row r="10" spans="7:13" ht="12.75">
      <c r="G10" s="1"/>
      <c r="H10" s="1"/>
      <c r="I10" s="1"/>
      <c r="J10" s="1"/>
      <c r="K10" s="1"/>
      <c r="L10" s="1"/>
      <c r="M10" s="1"/>
    </row>
    <row r="11" spans="7:13" ht="12.75">
      <c r="G11" s="1"/>
      <c r="H11" s="1"/>
      <c r="I11" s="1"/>
      <c r="J11" s="1"/>
      <c r="K11" s="1"/>
      <c r="L11" s="1"/>
      <c r="M11" s="1"/>
    </row>
    <row r="12" spans="7:13" ht="12.75">
      <c r="G12" s="1"/>
      <c r="H12" s="1"/>
      <c r="I12" s="1"/>
      <c r="J12" s="1"/>
      <c r="K12" s="1"/>
      <c r="L12" s="1"/>
      <c r="M12" s="1"/>
    </row>
    <row r="13" spans="1:14" ht="12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4:13" ht="12.75">
      <c r="D14" s="1"/>
      <c r="G14" s="1"/>
      <c r="H14" s="1"/>
      <c r="I14" s="1"/>
      <c r="J14" s="1"/>
      <c r="K14" s="1"/>
      <c r="L14" s="1"/>
      <c r="M14" s="1"/>
    </row>
    <row r="15" spans="7:13" ht="12.75">
      <c r="G15" s="1"/>
      <c r="H15" s="1"/>
      <c r="I15" s="1"/>
      <c r="J15" s="1"/>
      <c r="K15" s="1"/>
      <c r="L15" s="1"/>
      <c r="M15" s="1"/>
    </row>
    <row r="16" spans="7:13" ht="12.75">
      <c r="G16" s="1"/>
      <c r="H16" s="1"/>
      <c r="I16" s="1"/>
      <c r="J16" s="1"/>
      <c r="K16" s="1"/>
      <c r="L16" s="1"/>
      <c r="M16" s="1"/>
    </row>
    <row r="17" spans="7:13" ht="12.75">
      <c r="G17" s="1"/>
      <c r="H17" s="1"/>
      <c r="I17" s="1"/>
      <c r="J17" s="1"/>
      <c r="K17" s="1"/>
      <c r="L17" s="1"/>
      <c r="M17" s="1"/>
    </row>
    <row r="18" spans="7:13" ht="12.75">
      <c r="G18" s="1"/>
      <c r="H18" s="1"/>
      <c r="I18" s="1"/>
      <c r="J18" s="1"/>
      <c r="K18" s="1"/>
      <c r="L18" s="1"/>
      <c r="M18" s="1"/>
    </row>
    <row r="19" spans="7:13" ht="12.75">
      <c r="G19" s="1"/>
      <c r="H19" s="1"/>
      <c r="I19" s="1"/>
      <c r="J19" s="1"/>
      <c r="K19" s="1"/>
      <c r="L19" s="1"/>
      <c r="M19" s="1"/>
    </row>
    <row r="20" spans="7:13" ht="12.75">
      <c r="G20" s="1"/>
      <c r="H20" s="1"/>
      <c r="I20" s="1"/>
      <c r="J20" s="1"/>
      <c r="K20" s="1"/>
      <c r="L20" s="1"/>
      <c r="M20" s="1"/>
    </row>
    <row r="21" spans="7:13" ht="12.75">
      <c r="G21" s="1"/>
      <c r="H21" s="1"/>
      <c r="I21" s="1"/>
      <c r="J21" s="1"/>
      <c r="K21" s="1"/>
      <c r="L21" s="1"/>
      <c r="M21" s="1"/>
    </row>
    <row r="22" spans="7:13" ht="12.75">
      <c r="G22" s="1"/>
      <c r="H22" s="1"/>
      <c r="I22" s="1"/>
      <c r="J22" s="1"/>
      <c r="K22" s="1"/>
      <c r="L22" s="1"/>
      <c r="M22" s="1"/>
    </row>
    <row r="23" spans="7:13" ht="12.75">
      <c r="G23" s="1"/>
      <c r="H23" s="1"/>
      <c r="I23" s="1"/>
      <c r="J23" s="1"/>
      <c r="K23" s="1"/>
      <c r="L23" s="1"/>
      <c r="M23" s="1"/>
    </row>
  </sheetData>
  <printOptions/>
  <pageMargins left="0.5905511811023623" right="0.1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3" sqref="A3:R9"/>
    </sheetView>
  </sheetViews>
  <sheetFormatPr defaultColWidth="9.140625" defaultRowHeight="12.75"/>
  <cols>
    <col min="1" max="1" width="19.57421875" style="0" customWidth="1"/>
    <col min="2" max="2" width="7.28125" style="0" customWidth="1"/>
    <col min="3" max="3" width="10.57421875" style="0" customWidth="1"/>
    <col min="4" max="4" width="12.7109375" style="0" customWidth="1"/>
    <col min="5" max="5" width="10.140625" style="0" bestFit="1" customWidth="1"/>
    <col min="7" max="7" width="10.00390625" style="0" customWidth="1"/>
    <col min="9" max="9" width="10.140625" style="0" customWidth="1"/>
    <col min="11" max="11" width="9.8515625" style="0" customWidth="1"/>
    <col min="13" max="13" width="10.00390625" style="0" customWidth="1"/>
    <col min="15" max="15" width="10.140625" style="0" customWidth="1"/>
    <col min="16" max="16" width="10.28125" style="0" customWidth="1"/>
    <col min="17" max="17" width="11.421875" style="0" customWidth="1"/>
    <col min="18" max="18" width="8.421875" style="0" customWidth="1"/>
    <col min="19" max="19" width="9.28125" style="0" hidden="1" customWidth="1"/>
    <col min="20" max="20" width="10.140625" style="0" hidden="1" customWidth="1"/>
  </cols>
  <sheetData>
    <row r="1" spans="1:2" ht="12.75">
      <c r="A1" s="2" t="s">
        <v>99</v>
      </c>
      <c r="B1" s="2"/>
    </row>
    <row r="2" spans="1:2" ht="12.75">
      <c r="A2" s="18" t="s">
        <v>281</v>
      </c>
      <c r="B2" s="2"/>
    </row>
    <row r="3" spans="1:18" ht="12.75">
      <c r="A3" s="61"/>
      <c r="B3" s="61"/>
      <c r="C3" s="61"/>
      <c r="D3" s="61"/>
      <c r="E3" s="183" t="s">
        <v>101</v>
      </c>
      <c r="F3" s="183"/>
      <c r="G3" s="183" t="s">
        <v>49</v>
      </c>
      <c r="H3" s="183"/>
      <c r="I3" s="183" t="s">
        <v>50</v>
      </c>
      <c r="J3" s="183"/>
      <c r="K3" s="183" t="s">
        <v>51</v>
      </c>
      <c r="L3" s="183"/>
      <c r="M3" s="183" t="s">
        <v>52</v>
      </c>
      <c r="N3" s="183"/>
      <c r="O3" s="183" t="s">
        <v>3</v>
      </c>
      <c r="P3" s="87"/>
      <c r="Q3" s="184">
        <v>41639</v>
      </c>
      <c r="R3" s="61"/>
    </row>
    <row r="4" spans="1:20" ht="38.25">
      <c r="A4" s="61" t="s">
        <v>100</v>
      </c>
      <c r="B4" s="179" t="s">
        <v>106</v>
      </c>
      <c r="C4" s="179" t="s">
        <v>108</v>
      </c>
      <c r="D4" s="179" t="s">
        <v>107</v>
      </c>
      <c r="E4" s="87" t="s">
        <v>33</v>
      </c>
      <c r="F4" s="87" t="s">
        <v>37</v>
      </c>
      <c r="G4" s="87" t="s">
        <v>33</v>
      </c>
      <c r="H4" s="87" t="s">
        <v>37</v>
      </c>
      <c r="I4" s="87" t="s">
        <v>33</v>
      </c>
      <c r="J4" s="87" t="s">
        <v>37</v>
      </c>
      <c r="K4" s="87" t="s">
        <v>33</v>
      </c>
      <c r="L4" s="87" t="s">
        <v>37</v>
      </c>
      <c r="M4" s="87" t="s">
        <v>33</v>
      </c>
      <c r="N4" s="87" t="s">
        <v>37</v>
      </c>
      <c r="O4" s="87" t="s">
        <v>33</v>
      </c>
      <c r="P4" s="87" t="s">
        <v>37</v>
      </c>
      <c r="Q4" s="185" t="s">
        <v>109</v>
      </c>
      <c r="R4" s="179" t="s">
        <v>35</v>
      </c>
      <c r="S4" s="6" t="s">
        <v>110</v>
      </c>
      <c r="T4" s="6" t="s">
        <v>110</v>
      </c>
    </row>
    <row r="5" spans="1:21" ht="12.75">
      <c r="A5" s="61" t="s">
        <v>197</v>
      </c>
      <c r="B5" s="61">
        <f>ASUTAMISKULU!C16</f>
        <v>7</v>
      </c>
      <c r="C5" s="71">
        <f>'liigend-uus'!B11</f>
        <v>3389830.51</v>
      </c>
      <c r="D5" s="71">
        <f>B5*C5</f>
        <v>23728813.57</v>
      </c>
      <c r="E5" s="71">
        <f>'liigend-uus'!H17*B5</f>
        <v>5892742.66</v>
      </c>
      <c r="F5" s="71">
        <f>'liigend-uus'!I17*B5</f>
        <v>519049.58</v>
      </c>
      <c r="G5" s="71">
        <f>'liigend-uus'!H29*B5</f>
        <v>2392519.2199999997</v>
      </c>
      <c r="H5" s="71">
        <f>'liigend-uus'!I29*B5</f>
        <v>939539.9300000002</v>
      </c>
      <c r="I5" s="71">
        <f>'liigend-uus'!H41*B5</f>
        <v>2530219.79</v>
      </c>
      <c r="J5" s="71">
        <f>'liigend-uus'!I41*B5</f>
        <v>801839.43</v>
      </c>
      <c r="K5" s="71">
        <f>'liigend-uus'!H53*B5</f>
        <v>2675845.76</v>
      </c>
      <c r="L5" s="71">
        <f>'liigend-uus'!I53*B5</f>
        <v>656213.3900000001</v>
      </c>
      <c r="M5" s="71">
        <f>'liigend-uus'!H65*B5</f>
        <v>2829853.0400000005</v>
      </c>
      <c r="N5" s="71">
        <f>'liigend-uus'!I65*B5</f>
        <v>502206.04000000004</v>
      </c>
      <c r="O5" s="71">
        <f aca="true" t="shared" si="0" ref="O5:P8">E5+G5+I5+K5+M5</f>
        <v>16321180.47</v>
      </c>
      <c r="P5" s="71">
        <f t="shared" si="0"/>
        <v>3418848.3700000006</v>
      </c>
      <c r="Q5" s="71">
        <f>D5-O5</f>
        <v>7407633.1</v>
      </c>
      <c r="R5" s="71">
        <f>'liigend-uus'!G4</f>
        <v>84000</v>
      </c>
      <c r="S5" s="7">
        <f>'liigend-uus'!B67</f>
        <v>1058233.3</v>
      </c>
      <c r="T5" s="7">
        <f>S5*B5</f>
        <v>7407633.100000001</v>
      </c>
      <c r="U5" s="1"/>
    </row>
    <row r="6" spans="1:21" ht="12.75">
      <c r="A6" s="61" t="s">
        <v>103</v>
      </c>
      <c r="B6" s="61">
        <f>ASUTAMISKULU!C17</f>
        <v>8</v>
      </c>
      <c r="C6" s="71">
        <f>'liigend-kasut'!B11</f>
        <v>1355932.2</v>
      </c>
      <c r="D6" s="71">
        <f>B6*C6</f>
        <v>10847457.6</v>
      </c>
      <c r="E6" s="71">
        <f>'liigend-kasut'!H17*B6</f>
        <v>2932158.64</v>
      </c>
      <c r="F6" s="71">
        <f>'liigend-kasut'!I17*B6</f>
        <v>234509.92</v>
      </c>
      <c r="G6" s="71">
        <f>'liigend-kasut'!H29*B6</f>
        <v>1590869.84</v>
      </c>
      <c r="H6" s="71">
        <f>'liigend-kasut'!I29*B6</f>
        <v>403484.39999999997</v>
      </c>
      <c r="I6" s="71">
        <f>'liigend-kasut'!H41*B6</f>
        <v>1682431.8400000003</v>
      </c>
      <c r="J6" s="71">
        <f>'liigend-kasut'!I41*B6</f>
        <v>311922.4</v>
      </c>
      <c r="K6" s="71">
        <f>'liigend-kasut'!H53*B6</f>
        <v>1779263.5999999999</v>
      </c>
      <c r="L6" s="71">
        <f>'liigend-kasut'!I53*B6</f>
        <v>215090.63999999996</v>
      </c>
      <c r="M6" s="71">
        <f>'liigend-kasut'!H65*B6</f>
        <v>1881668.4799999995</v>
      </c>
      <c r="N6" s="71">
        <f>'liigend-kasut'!I65*B6</f>
        <v>112685.60000000002</v>
      </c>
      <c r="O6" s="71">
        <f t="shared" si="0"/>
        <v>9866392.399999999</v>
      </c>
      <c r="P6" s="71">
        <f t="shared" si="0"/>
        <v>1277692.96</v>
      </c>
      <c r="Q6" s="71">
        <f>D6-O6</f>
        <v>981065.2000000011</v>
      </c>
      <c r="R6" s="71">
        <f>'liigend-kasut'!F5</f>
        <v>38400</v>
      </c>
      <c r="S6" s="7">
        <f>'liigend-kasut'!B67</f>
        <v>122633.12</v>
      </c>
      <c r="T6" s="7">
        <f>S6*B6</f>
        <v>981064.96</v>
      </c>
      <c r="U6" s="1"/>
    </row>
    <row r="7" spans="1:21" ht="12.75">
      <c r="A7" s="61" t="s">
        <v>198</v>
      </c>
      <c r="B7" s="61">
        <f>ASUTAMISKULU!C18</f>
        <v>19</v>
      </c>
      <c r="C7" s="71">
        <f>'lühike-uus'!B11</f>
        <v>2542372.88</v>
      </c>
      <c r="D7" s="71">
        <f>B7*C7</f>
        <v>48305084.72</v>
      </c>
      <c r="E7" s="71">
        <f>'lühike-uus'!H17*B7</f>
        <v>12208206.040000003</v>
      </c>
      <c r="F7" s="71">
        <f>'lühike-uus'!I17*B7</f>
        <v>1054169.9699999997</v>
      </c>
      <c r="G7" s="71">
        <f>'lühike-uus'!H29*B7</f>
        <v>5313256.710000001</v>
      </c>
      <c r="H7" s="71">
        <f>'lühike-uus'!I29*B7</f>
        <v>1889461.65</v>
      </c>
      <c r="I7" s="71">
        <f>'lühike-uus'!H41*B7</f>
        <v>5619059.620000001</v>
      </c>
      <c r="J7" s="71">
        <f>'lühike-uus'!I41*B7</f>
        <v>1583658.36</v>
      </c>
      <c r="K7" s="71">
        <f>'lühike-uus'!H53*B7</f>
        <v>5942462.610000001</v>
      </c>
      <c r="L7" s="71">
        <f>'lühike-uus'!I53*B7</f>
        <v>1260255.1799999997</v>
      </c>
      <c r="M7" s="71">
        <f>'lühike-uus'!H65*B7</f>
        <v>6284478.95</v>
      </c>
      <c r="N7" s="71">
        <f>'lühike-uus'!I65*B7</f>
        <v>918239.2200000001</v>
      </c>
      <c r="O7" s="71">
        <f t="shared" si="0"/>
        <v>35367463.93000001</v>
      </c>
      <c r="P7" s="71">
        <f t="shared" si="0"/>
        <v>6705784.379999999</v>
      </c>
      <c r="Q7" s="71">
        <f>D7-O7</f>
        <v>12937620.789999992</v>
      </c>
      <c r="R7" s="71">
        <f>'lühike-uus'!G4</f>
        <v>171000</v>
      </c>
      <c r="S7" s="7">
        <f>'lühike-uus'!B67</f>
        <v>680927.4</v>
      </c>
      <c r="T7" s="7">
        <f>S7*B7</f>
        <v>12937620.6</v>
      </c>
      <c r="U7" s="1"/>
    </row>
    <row r="8" spans="1:21" ht="12.75">
      <c r="A8" s="61" t="s">
        <v>105</v>
      </c>
      <c r="B8" s="61">
        <f>ASUTAMISKULU!C19</f>
        <v>20</v>
      </c>
      <c r="C8" s="71">
        <f>'lühike-kasut'!B11</f>
        <v>1186440.68</v>
      </c>
      <c r="D8" s="71">
        <f>B8*C8</f>
        <v>23728813.599999998</v>
      </c>
      <c r="E8" s="71">
        <f>'lühike-kasut'!H17*B8</f>
        <v>6414097.199999998</v>
      </c>
      <c r="F8" s="71">
        <f>'lühike-kasut'!I17*B8</f>
        <v>512990.79999999993</v>
      </c>
      <c r="G8" s="71">
        <f>'lühike-kasut'!H29*B8</f>
        <v>3480028</v>
      </c>
      <c r="H8" s="71">
        <f>'lühike-kasut'!I29*B8</f>
        <v>882622</v>
      </c>
      <c r="I8" s="71">
        <f>'lühike-kasut'!H41*B8</f>
        <v>3680320</v>
      </c>
      <c r="J8" s="71">
        <f>'lühike-kasut'!I41*B8</f>
        <v>682330.2000000001</v>
      </c>
      <c r="K8" s="71">
        <f>'lühike-kasut'!H53*B8</f>
        <v>3892139.2</v>
      </c>
      <c r="L8" s="71">
        <f>'lühike-kasut'!I53*B8</f>
        <v>470511.0000000001</v>
      </c>
      <c r="M8" s="71">
        <f>'lühike-kasut'!H65*B8</f>
        <v>4116149.9999999995</v>
      </c>
      <c r="N8" s="71">
        <f>'lühike-kasut'!I65*B8</f>
        <v>246499.80000000005</v>
      </c>
      <c r="O8" s="71">
        <f t="shared" si="0"/>
        <v>21582734.4</v>
      </c>
      <c r="P8" s="71">
        <f t="shared" si="0"/>
        <v>2794953.8</v>
      </c>
      <c r="Q8" s="71">
        <f>D8-O8</f>
        <v>2146079.1999999993</v>
      </c>
      <c r="R8" s="71">
        <f>'lühike-kasut'!F5</f>
        <v>84000</v>
      </c>
      <c r="S8" s="7">
        <f>'lühike-kasut'!B67</f>
        <v>107303.98</v>
      </c>
      <c r="T8" s="7">
        <f>S8*B8</f>
        <v>2146079.6</v>
      </c>
      <c r="U8" s="1"/>
    </row>
    <row r="9" spans="1:21" ht="12.75">
      <c r="A9" s="81" t="s">
        <v>3</v>
      </c>
      <c r="B9" s="81">
        <f>SUM(B5:B8)</f>
        <v>54</v>
      </c>
      <c r="C9" s="81"/>
      <c r="D9" s="74">
        <f aca="true" t="shared" si="1" ref="D9:N9">SUM(D5:D8)</f>
        <v>106610169.49</v>
      </c>
      <c r="E9" s="74">
        <f t="shared" si="1"/>
        <v>27447204.540000003</v>
      </c>
      <c r="F9" s="74">
        <f t="shared" si="1"/>
        <v>2320720.2699999996</v>
      </c>
      <c r="G9" s="74">
        <f t="shared" si="1"/>
        <v>12776673.77</v>
      </c>
      <c r="H9" s="74">
        <f t="shared" si="1"/>
        <v>4115107.98</v>
      </c>
      <c r="I9" s="74">
        <f t="shared" si="1"/>
        <v>13512031.250000002</v>
      </c>
      <c r="J9" s="74">
        <f t="shared" si="1"/>
        <v>3379750.3900000006</v>
      </c>
      <c r="K9" s="74">
        <f t="shared" si="1"/>
        <v>14289711.170000002</v>
      </c>
      <c r="L9" s="74">
        <f t="shared" si="1"/>
        <v>2602070.21</v>
      </c>
      <c r="M9" s="74">
        <f t="shared" si="1"/>
        <v>15112150.469999999</v>
      </c>
      <c r="N9" s="74">
        <f t="shared" si="1"/>
        <v>1779630.6600000001</v>
      </c>
      <c r="O9" s="74">
        <f aca="true" t="shared" si="2" ref="O9:T9">SUM(O5:O8)</f>
        <v>83137771.2</v>
      </c>
      <c r="P9" s="74">
        <f t="shared" si="2"/>
        <v>14197279.509999998</v>
      </c>
      <c r="Q9" s="74">
        <f t="shared" si="2"/>
        <v>23472398.28999999</v>
      </c>
      <c r="R9" s="74">
        <f t="shared" si="2"/>
        <v>377400</v>
      </c>
      <c r="S9" s="8">
        <f t="shared" si="2"/>
        <v>1969097.7999999998</v>
      </c>
      <c r="T9" s="8">
        <f t="shared" si="2"/>
        <v>23472398.26</v>
      </c>
      <c r="U9" s="1"/>
    </row>
    <row r="10" spans="15:16" ht="12.75">
      <c r="O10" s="1"/>
      <c r="P10" s="1"/>
    </row>
    <row r="11" spans="15:16" ht="12.75">
      <c r="O11" s="1"/>
      <c r="P11" s="1"/>
    </row>
    <row r="12" spans="15:16" ht="12.75">
      <c r="O12" s="1"/>
      <c r="P12" s="1"/>
    </row>
    <row r="13" spans="15:16" ht="12.75">
      <c r="O13" s="1"/>
      <c r="P13" s="1"/>
    </row>
    <row r="14" spans="15:16" ht="12.75">
      <c r="O14" s="1"/>
      <c r="P14" s="1"/>
    </row>
  </sheetData>
  <printOptions/>
  <pageMargins left="0.5905511811023623" right="0.35433070866141736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zoomScale="80" zoomScaleNormal="80" workbookViewId="0" topLeftCell="A1">
      <selection activeCell="M8" sqref="M8"/>
    </sheetView>
  </sheetViews>
  <sheetFormatPr defaultColWidth="9.140625" defaultRowHeight="12.75"/>
  <cols>
    <col min="1" max="1" width="17.8515625" style="0" customWidth="1"/>
    <col min="2" max="2" width="12.57421875" style="0" customWidth="1"/>
    <col min="3" max="3" width="12.421875" style="0" customWidth="1"/>
    <col min="4" max="4" width="14.140625" style="0" customWidth="1"/>
    <col min="5" max="5" width="12.421875" style="0" customWidth="1"/>
    <col min="6" max="6" width="9.8515625" style="0" customWidth="1"/>
    <col min="7" max="7" width="11.57421875" style="0" customWidth="1"/>
    <col min="8" max="8" width="12.140625" style="0" customWidth="1"/>
  </cols>
  <sheetData>
    <row r="1" spans="1:7" ht="18" customHeight="1">
      <c r="A1" s="60" t="s">
        <v>85</v>
      </c>
      <c r="B1" s="61"/>
      <c r="C1" s="61"/>
      <c r="D1" s="61"/>
      <c r="E1" s="61"/>
      <c r="F1" s="61"/>
      <c r="G1" s="61"/>
    </row>
    <row r="2" spans="1:7" ht="25.5">
      <c r="A2" s="62" t="s">
        <v>17</v>
      </c>
      <c r="B2" s="63"/>
      <c r="C2" s="187"/>
      <c r="D2" s="62" t="s">
        <v>27</v>
      </c>
      <c r="E2" s="63" t="s">
        <v>28</v>
      </c>
      <c r="F2" s="61"/>
      <c r="G2" s="61"/>
    </row>
    <row r="3" spans="1:7" ht="38.25">
      <c r="A3" s="62" t="s">
        <v>18</v>
      </c>
      <c r="B3" s="63" t="s">
        <v>19</v>
      </c>
      <c r="C3" s="187"/>
      <c r="D3" s="62" t="s">
        <v>29</v>
      </c>
      <c r="E3" s="63" t="s">
        <v>83</v>
      </c>
      <c r="F3" s="61"/>
      <c r="G3" s="61"/>
    </row>
    <row r="4" spans="1:7" ht="33.75" customHeight="1">
      <c r="A4" s="62" t="s">
        <v>20</v>
      </c>
      <c r="B4" s="63" t="s">
        <v>82</v>
      </c>
      <c r="C4" s="187"/>
      <c r="D4" s="62" t="s">
        <v>30</v>
      </c>
      <c r="E4" s="63">
        <f>4000000*0.3%</f>
        <v>12000</v>
      </c>
      <c r="F4" s="65" t="s">
        <v>86</v>
      </c>
      <c r="G4" s="61">
        <v>84000</v>
      </c>
    </row>
    <row r="5" spans="1:7" ht="30" customHeight="1">
      <c r="A5" s="62" t="s">
        <v>22</v>
      </c>
      <c r="B5" s="63">
        <v>3389830.51</v>
      </c>
      <c r="C5" s="187"/>
      <c r="D5" s="62" t="s">
        <v>84</v>
      </c>
      <c r="E5" s="63">
        <v>847457.63</v>
      </c>
      <c r="F5" s="66">
        <f>E5/B5</f>
        <v>0.2500000007375</v>
      </c>
      <c r="G5" s="61"/>
    </row>
    <row r="6" spans="1:7" ht="25.5">
      <c r="A6" s="62" t="s">
        <v>24</v>
      </c>
      <c r="B6" s="63">
        <v>677966.1</v>
      </c>
      <c r="C6" s="187"/>
      <c r="D6" s="187"/>
      <c r="E6" s="187"/>
      <c r="F6" s="61"/>
      <c r="G6" s="61"/>
    </row>
    <row r="7" spans="1:7" ht="12.75">
      <c r="A7" s="62" t="s">
        <v>26</v>
      </c>
      <c r="B7" s="67">
        <v>0.18</v>
      </c>
      <c r="C7" s="187"/>
      <c r="D7" s="187"/>
      <c r="E7" s="187"/>
      <c r="F7" s="61"/>
      <c r="G7" s="61"/>
    </row>
    <row r="10" spans="1:9" ht="12.75">
      <c r="A10" s="68" t="s">
        <v>31</v>
      </c>
      <c r="B10" s="68" t="s">
        <v>32</v>
      </c>
      <c r="C10" s="68" t="s">
        <v>33</v>
      </c>
      <c r="D10" s="68" t="s">
        <v>34</v>
      </c>
      <c r="E10" s="68" t="s">
        <v>35</v>
      </c>
      <c r="F10" s="68" t="s">
        <v>26</v>
      </c>
      <c r="G10" s="68" t="s">
        <v>3</v>
      </c>
      <c r="H10" s="68" t="s">
        <v>97</v>
      </c>
      <c r="I10" s="68" t="s">
        <v>37</v>
      </c>
    </row>
    <row r="11" spans="1:9" ht="12.75">
      <c r="A11" s="69">
        <v>39989</v>
      </c>
      <c r="B11" s="70">
        <v>3389830.51</v>
      </c>
      <c r="C11" s="70">
        <v>677966.1</v>
      </c>
      <c r="D11" s="70">
        <v>0</v>
      </c>
      <c r="E11" s="70">
        <f>E4</f>
        <v>12000</v>
      </c>
      <c r="F11" s="70">
        <v>610169.49</v>
      </c>
      <c r="G11" s="70">
        <v>1288135.59</v>
      </c>
      <c r="H11" s="71"/>
      <c r="I11" s="71"/>
    </row>
    <row r="12" spans="1:9" ht="12.75">
      <c r="A12" s="72">
        <v>40019</v>
      </c>
      <c r="B12" s="70">
        <v>2711864.41</v>
      </c>
      <c r="C12" s="70">
        <v>26991.66</v>
      </c>
      <c r="D12" s="70">
        <v>12675.71</v>
      </c>
      <c r="E12" s="70">
        <v>0</v>
      </c>
      <c r="F12" s="70">
        <v>0</v>
      </c>
      <c r="G12" s="70">
        <v>39667.37</v>
      </c>
      <c r="H12" s="71"/>
      <c r="I12" s="71"/>
    </row>
    <row r="13" spans="1:9" ht="12.75">
      <c r="A13" s="72">
        <v>40050</v>
      </c>
      <c r="B13" s="70">
        <v>2684872.75</v>
      </c>
      <c r="C13" s="70">
        <v>27117.83</v>
      </c>
      <c r="D13" s="70">
        <v>12549.54</v>
      </c>
      <c r="E13" s="70">
        <v>0</v>
      </c>
      <c r="F13" s="70">
        <v>0</v>
      </c>
      <c r="G13" s="70">
        <v>39667.37</v>
      </c>
      <c r="H13" s="71"/>
      <c r="I13" s="71"/>
    </row>
    <row r="14" spans="1:9" ht="12.75">
      <c r="A14" s="72">
        <v>40081</v>
      </c>
      <c r="B14" s="70">
        <v>2657754.92</v>
      </c>
      <c r="C14" s="70">
        <v>27244.58</v>
      </c>
      <c r="D14" s="70">
        <v>12422.79</v>
      </c>
      <c r="E14" s="70">
        <v>0</v>
      </c>
      <c r="F14" s="70">
        <v>0</v>
      </c>
      <c r="G14" s="70">
        <v>39667.37</v>
      </c>
      <c r="H14" s="71"/>
      <c r="I14" s="71"/>
    </row>
    <row r="15" spans="1:9" ht="12.75">
      <c r="A15" s="72">
        <v>40111</v>
      </c>
      <c r="B15" s="70">
        <v>2630510.34</v>
      </c>
      <c r="C15" s="70">
        <v>27371.93</v>
      </c>
      <c r="D15" s="70">
        <v>12295.44</v>
      </c>
      <c r="E15" s="70">
        <v>0</v>
      </c>
      <c r="F15" s="70">
        <v>0</v>
      </c>
      <c r="G15" s="70">
        <v>39667.37</v>
      </c>
      <c r="H15" s="71"/>
      <c r="I15" s="71"/>
    </row>
    <row r="16" spans="1:9" ht="12.75">
      <c r="A16" s="72">
        <v>40142</v>
      </c>
      <c r="B16" s="70">
        <v>2603138.41</v>
      </c>
      <c r="C16" s="70">
        <v>27499.87</v>
      </c>
      <c r="D16" s="70">
        <v>12167.5</v>
      </c>
      <c r="E16" s="70">
        <v>0</v>
      </c>
      <c r="F16" s="70">
        <v>0</v>
      </c>
      <c r="G16" s="70">
        <v>39667.37</v>
      </c>
      <c r="H16" s="61"/>
      <c r="I16" s="61"/>
    </row>
    <row r="17" spans="1:9" ht="12.75">
      <c r="A17" s="72">
        <v>40172</v>
      </c>
      <c r="B17" s="70">
        <v>2575638.54</v>
      </c>
      <c r="C17" s="70">
        <v>27628.41</v>
      </c>
      <c r="D17" s="70">
        <v>12038.96</v>
      </c>
      <c r="E17" s="70">
        <v>0</v>
      </c>
      <c r="F17" s="70">
        <v>0</v>
      </c>
      <c r="G17" s="70">
        <v>39667.37</v>
      </c>
      <c r="H17" s="71">
        <f>SUM(C11:C17)</f>
        <v>841820.38</v>
      </c>
      <c r="I17" s="71">
        <f>SUM(D11:D17)</f>
        <v>74149.94</v>
      </c>
    </row>
    <row r="18" spans="1:9" ht="12.75">
      <c r="A18" s="72">
        <v>40203</v>
      </c>
      <c r="B18" s="70">
        <v>2548010.14</v>
      </c>
      <c r="C18" s="70">
        <v>27757.55</v>
      </c>
      <c r="D18" s="70">
        <v>11909.82</v>
      </c>
      <c r="E18" s="70">
        <v>0</v>
      </c>
      <c r="F18" s="70">
        <v>0</v>
      </c>
      <c r="G18" s="70">
        <v>39667.37</v>
      </c>
      <c r="H18" s="71"/>
      <c r="I18" s="71"/>
    </row>
    <row r="19" spans="1:9" ht="12.75">
      <c r="A19" s="72">
        <v>40234</v>
      </c>
      <c r="B19" s="70">
        <v>2520252.59</v>
      </c>
      <c r="C19" s="70">
        <v>27887.29</v>
      </c>
      <c r="D19" s="70">
        <v>11780.08</v>
      </c>
      <c r="E19" s="70">
        <v>0</v>
      </c>
      <c r="F19" s="70">
        <v>0</v>
      </c>
      <c r="G19" s="70">
        <v>39667.37</v>
      </c>
      <c r="H19" s="71"/>
      <c r="I19" s="71"/>
    </row>
    <row r="20" spans="1:9" ht="12.75">
      <c r="A20" s="72">
        <v>40262</v>
      </c>
      <c r="B20" s="70">
        <v>2492365.3</v>
      </c>
      <c r="C20" s="70">
        <v>28017.64</v>
      </c>
      <c r="D20" s="70">
        <v>11649.73</v>
      </c>
      <c r="E20" s="70">
        <v>0</v>
      </c>
      <c r="F20" s="70">
        <v>0</v>
      </c>
      <c r="G20" s="70">
        <v>39667.37</v>
      </c>
      <c r="H20" s="71"/>
      <c r="I20" s="71"/>
    </row>
    <row r="21" spans="1:9" ht="12.75">
      <c r="A21" s="72">
        <v>40293</v>
      </c>
      <c r="B21" s="70">
        <v>2464347.66</v>
      </c>
      <c r="C21" s="70">
        <v>28148.6</v>
      </c>
      <c r="D21" s="70">
        <v>11518.77</v>
      </c>
      <c r="E21" s="70">
        <v>0</v>
      </c>
      <c r="F21" s="70">
        <v>0</v>
      </c>
      <c r="G21" s="70">
        <v>39667.37</v>
      </c>
      <c r="H21" s="71"/>
      <c r="I21" s="71"/>
    </row>
    <row r="22" spans="1:9" ht="12.75">
      <c r="A22" s="72">
        <v>40323</v>
      </c>
      <c r="B22" s="70">
        <v>2436199.06</v>
      </c>
      <c r="C22" s="70">
        <v>28280.17</v>
      </c>
      <c r="D22" s="70">
        <v>11387.2</v>
      </c>
      <c r="E22" s="70">
        <v>0</v>
      </c>
      <c r="F22" s="70">
        <v>0</v>
      </c>
      <c r="G22" s="70">
        <v>39667.37</v>
      </c>
      <c r="H22" s="71"/>
      <c r="I22" s="71"/>
    </row>
    <row r="23" spans="1:9" ht="12.75">
      <c r="A23" s="72">
        <v>40354</v>
      </c>
      <c r="B23" s="70">
        <v>2407918.89</v>
      </c>
      <c r="C23" s="70">
        <v>28412.36</v>
      </c>
      <c r="D23" s="70">
        <v>11255.01</v>
      </c>
      <c r="E23" s="70">
        <v>0</v>
      </c>
      <c r="F23" s="70">
        <v>0</v>
      </c>
      <c r="G23" s="70">
        <v>39667.37</v>
      </c>
      <c r="H23" s="71"/>
      <c r="I23" s="71"/>
    </row>
    <row r="24" spans="1:9" ht="12.75">
      <c r="A24" s="72">
        <v>40384</v>
      </c>
      <c r="B24" s="70">
        <v>2379506.54</v>
      </c>
      <c r="C24" s="70">
        <v>28545.16</v>
      </c>
      <c r="D24" s="70">
        <v>11122.21</v>
      </c>
      <c r="E24" s="70">
        <v>0</v>
      </c>
      <c r="F24" s="70">
        <v>0</v>
      </c>
      <c r="G24" s="70">
        <v>39667.37</v>
      </c>
      <c r="H24" s="71"/>
      <c r="I24" s="71"/>
    </row>
    <row r="25" spans="1:9" ht="12.75">
      <c r="A25" s="72">
        <v>40415</v>
      </c>
      <c r="B25" s="70">
        <v>2350961.37</v>
      </c>
      <c r="C25" s="70">
        <v>28678.59</v>
      </c>
      <c r="D25" s="70">
        <v>10988.79</v>
      </c>
      <c r="E25" s="70">
        <v>0</v>
      </c>
      <c r="F25" s="70">
        <v>0</v>
      </c>
      <c r="G25" s="70">
        <v>39667.37</v>
      </c>
      <c r="H25" s="71"/>
      <c r="I25" s="71"/>
    </row>
    <row r="26" spans="1:9" ht="12.75">
      <c r="A26" s="72">
        <v>40446</v>
      </c>
      <c r="B26" s="70">
        <v>2322282.79</v>
      </c>
      <c r="C26" s="70">
        <v>28812.63</v>
      </c>
      <c r="D26" s="70">
        <v>10854.74</v>
      </c>
      <c r="E26" s="70">
        <v>0</v>
      </c>
      <c r="F26" s="70">
        <v>0</v>
      </c>
      <c r="G26" s="70">
        <v>39667.37</v>
      </c>
      <c r="H26" s="71"/>
      <c r="I26" s="71"/>
    </row>
    <row r="27" spans="1:9" ht="12.75">
      <c r="A27" s="72">
        <v>40476</v>
      </c>
      <c r="B27" s="70">
        <v>2293470.16</v>
      </c>
      <c r="C27" s="70">
        <v>28947.31</v>
      </c>
      <c r="D27" s="70">
        <v>10720.06</v>
      </c>
      <c r="E27" s="70">
        <v>0</v>
      </c>
      <c r="F27" s="70">
        <v>0</v>
      </c>
      <c r="G27" s="70">
        <v>39667.37</v>
      </c>
      <c r="H27" s="71"/>
      <c r="I27" s="71"/>
    </row>
    <row r="28" spans="1:9" ht="12.75">
      <c r="A28" s="72">
        <v>40507</v>
      </c>
      <c r="B28" s="70">
        <v>2264522.85</v>
      </c>
      <c r="C28" s="70">
        <v>29082.61</v>
      </c>
      <c r="D28" s="70">
        <v>10584.76</v>
      </c>
      <c r="E28" s="70">
        <v>0</v>
      </c>
      <c r="F28" s="70">
        <v>0</v>
      </c>
      <c r="G28" s="70">
        <v>39667.37</v>
      </c>
      <c r="H28" s="61"/>
      <c r="I28" s="61"/>
    </row>
    <row r="29" spans="1:9" ht="12.75">
      <c r="A29" s="72">
        <v>40537</v>
      </c>
      <c r="B29" s="70">
        <v>2235440.23</v>
      </c>
      <c r="C29" s="70">
        <v>29218.55</v>
      </c>
      <c r="D29" s="70">
        <v>10448.82</v>
      </c>
      <c r="E29" s="70">
        <v>0</v>
      </c>
      <c r="F29" s="70">
        <v>0</v>
      </c>
      <c r="G29" s="70">
        <v>39667.37</v>
      </c>
      <c r="H29" s="71">
        <f>SUM(C18:C29)</f>
        <v>341788.45999999996</v>
      </c>
      <c r="I29" s="71">
        <f>SUM(D18:D29)</f>
        <v>134219.99000000002</v>
      </c>
    </row>
    <row r="30" spans="1:9" ht="12.75">
      <c r="A30" s="72">
        <v>40568</v>
      </c>
      <c r="B30" s="70">
        <v>2206221.68</v>
      </c>
      <c r="C30" s="70">
        <v>29355.12</v>
      </c>
      <c r="D30" s="70">
        <v>10312.25</v>
      </c>
      <c r="E30" s="70">
        <v>0</v>
      </c>
      <c r="F30" s="70">
        <v>0</v>
      </c>
      <c r="G30" s="70">
        <v>39667.37</v>
      </c>
      <c r="H30" s="71"/>
      <c r="I30" s="71"/>
    </row>
    <row r="31" spans="1:9" ht="12.75">
      <c r="A31" s="72">
        <v>40599</v>
      </c>
      <c r="B31" s="70">
        <v>2176866.56</v>
      </c>
      <c r="C31" s="70">
        <v>29492.33</v>
      </c>
      <c r="D31" s="70">
        <v>10175.04</v>
      </c>
      <c r="E31" s="70">
        <v>0</v>
      </c>
      <c r="F31" s="70">
        <v>0</v>
      </c>
      <c r="G31" s="70">
        <v>39667.37</v>
      </c>
      <c r="H31" s="71"/>
      <c r="I31" s="71"/>
    </row>
    <row r="32" spans="1:9" ht="12.75">
      <c r="A32" s="72">
        <v>40627</v>
      </c>
      <c r="B32" s="70">
        <v>2147374.23</v>
      </c>
      <c r="C32" s="70">
        <v>29630.19</v>
      </c>
      <c r="D32" s="70">
        <v>10037.19</v>
      </c>
      <c r="E32" s="70">
        <v>0</v>
      </c>
      <c r="F32" s="70">
        <v>0</v>
      </c>
      <c r="G32" s="70">
        <v>39667.37</v>
      </c>
      <c r="H32" s="71"/>
      <c r="I32" s="71"/>
    </row>
    <row r="33" spans="1:9" ht="12.75">
      <c r="A33" s="72">
        <v>40658</v>
      </c>
      <c r="B33" s="70">
        <v>2117744.04</v>
      </c>
      <c r="C33" s="70">
        <v>29768.68</v>
      </c>
      <c r="D33" s="70">
        <v>9898.69</v>
      </c>
      <c r="E33" s="70">
        <v>0</v>
      </c>
      <c r="F33" s="70">
        <v>0</v>
      </c>
      <c r="G33" s="70">
        <v>39667.37</v>
      </c>
      <c r="H33" s="71"/>
      <c r="I33" s="71"/>
    </row>
    <row r="34" spans="1:9" ht="12.75">
      <c r="A34" s="72">
        <v>40688</v>
      </c>
      <c r="B34" s="70">
        <v>2087975.36</v>
      </c>
      <c r="C34" s="70">
        <v>29907.83</v>
      </c>
      <c r="D34" s="70">
        <v>9759.54</v>
      </c>
      <c r="E34" s="70">
        <v>0</v>
      </c>
      <c r="F34" s="70">
        <v>0</v>
      </c>
      <c r="G34" s="70">
        <v>39667.37</v>
      </c>
      <c r="H34" s="71"/>
      <c r="I34" s="71"/>
    </row>
    <row r="35" spans="1:9" ht="12.75">
      <c r="A35" s="72">
        <v>40719</v>
      </c>
      <c r="B35" s="70">
        <v>2058067.53</v>
      </c>
      <c r="C35" s="70">
        <v>30047.62</v>
      </c>
      <c r="D35" s="70">
        <v>9619.75</v>
      </c>
      <c r="E35" s="70">
        <v>0</v>
      </c>
      <c r="F35" s="70">
        <v>0</v>
      </c>
      <c r="G35" s="70">
        <v>39667.37</v>
      </c>
      <c r="H35" s="71"/>
      <c r="I35" s="71"/>
    </row>
    <row r="36" spans="1:9" ht="12.75">
      <c r="A36" s="72">
        <v>40749</v>
      </c>
      <c r="B36" s="70">
        <v>2028019.92</v>
      </c>
      <c r="C36" s="70">
        <v>30188.07</v>
      </c>
      <c r="D36" s="70">
        <v>9479.3</v>
      </c>
      <c r="E36" s="70">
        <v>0</v>
      </c>
      <c r="F36" s="70">
        <v>0</v>
      </c>
      <c r="G36" s="70">
        <v>39667.37</v>
      </c>
      <c r="H36" s="71"/>
      <c r="I36" s="71"/>
    </row>
    <row r="37" spans="1:9" ht="12.75">
      <c r="A37" s="72">
        <v>40780</v>
      </c>
      <c r="B37" s="70">
        <v>1997831.85</v>
      </c>
      <c r="C37" s="70">
        <v>30329.17</v>
      </c>
      <c r="D37" s="70">
        <v>9338.2</v>
      </c>
      <c r="E37" s="70">
        <v>0</v>
      </c>
      <c r="F37" s="70">
        <v>0</v>
      </c>
      <c r="G37" s="70">
        <v>39667.37</v>
      </c>
      <c r="H37" s="71"/>
      <c r="I37" s="71"/>
    </row>
    <row r="38" spans="1:9" ht="12.75">
      <c r="A38" s="72">
        <v>40811</v>
      </c>
      <c r="B38" s="70">
        <v>1967502.68</v>
      </c>
      <c r="C38" s="70">
        <v>30470.94</v>
      </c>
      <c r="D38" s="70">
        <v>9196.44</v>
      </c>
      <c r="E38" s="70">
        <v>0</v>
      </c>
      <c r="F38" s="70">
        <v>0</v>
      </c>
      <c r="G38" s="70">
        <v>39667.37</v>
      </c>
      <c r="H38" s="71"/>
      <c r="I38" s="71"/>
    </row>
    <row r="39" spans="1:9" ht="12.75">
      <c r="A39" s="72">
        <v>40841</v>
      </c>
      <c r="B39" s="70">
        <v>1937031.74</v>
      </c>
      <c r="C39" s="70">
        <v>30613.36</v>
      </c>
      <c r="D39" s="70">
        <v>9054.01</v>
      </c>
      <c r="E39" s="70">
        <v>0</v>
      </c>
      <c r="F39" s="70">
        <v>0</v>
      </c>
      <c r="G39" s="70">
        <v>39667.37</v>
      </c>
      <c r="H39" s="71"/>
      <c r="I39" s="71"/>
    </row>
    <row r="40" spans="1:9" ht="12.75">
      <c r="A40" s="72">
        <v>40872</v>
      </c>
      <c r="B40" s="70">
        <v>1906418.38</v>
      </c>
      <c r="C40" s="70">
        <v>30756.45</v>
      </c>
      <c r="D40" s="70">
        <v>8910.92</v>
      </c>
      <c r="E40" s="70">
        <v>0</v>
      </c>
      <c r="F40" s="70">
        <v>0</v>
      </c>
      <c r="G40" s="70">
        <v>39667.37</v>
      </c>
      <c r="H40" s="61"/>
      <c r="I40" s="61"/>
    </row>
    <row r="41" spans="1:9" ht="12.75">
      <c r="A41" s="72">
        <v>40902</v>
      </c>
      <c r="B41" s="70">
        <v>1875661.93</v>
      </c>
      <c r="C41" s="70">
        <v>30900.21</v>
      </c>
      <c r="D41" s="70">
        <v>8767.16</v>
      </c>
      <c r="E41" s="70">
        <v>0</v>
      </c>
      <c r="F41" s="70">
        <v>0</v>
      </c>
      <c r="G41" s="70">
        <v>39667.37</v>
      </c>
      <c r="H41" s="71">
        <f>SUM(C30:C41)</f>
        <v>361459.97000000003</v>
      </c>
      <c r="I41" s="71">
        <f>SUM(D30:D41)</f>
        <v>114548.49</v>
      </c>
    </row>
    <row r="42" spans="1:9" ht="12.75">
      <c r="A42" s="72">
        <v>40933</v>
      </c>
      <c r="B42" s="70">
        <v>1844761.71</v>
      </c>
      <c r="C42" s="70">
        <v>31044.65</v>
      </c>
      <c r="D42" s="70">
        <v>8622.72</v>
      </c>
      <c r="E42" s="70">
        <v>0</v>
      </c>
      <c r="F42" s="70">
        <v>0</v>
      </c>
      <c r="G42" s="70">
        <v>39667.37</v>
      </c>
      <c r="H42" s="71"/>
      <c r="I42" s="71"/>
    </row>
    <row r="43" spans="1:9" ht="12.75">
      <c r="A43" s="72">
        <v>40964</v>
      </c>
      <c r="B43" s="70">
        <v>1813717.07</v>
      </c>
      <c r="C43" s="70">
        <v>31189.75</v>
      </c>
      <c r="D43" s="70">
        <v>8477.62</v>
      </c>
      <c r="E43" s="70">
        <v>0</v>
      </c>
      <c r="F43" s="70">
        <v>0</v>
      </c>
      <c r="G43" s="70">
        <v>39667.37</v>
      </c>
      <c r="H43" s="71"/>
      <c r="I43" s="71"/>
    </row>
    <row r="44" spans="1:9" ht="12.75">
      <c r="A44" s="72">
        <v>40993</v>
      </c>
      <c r="B44" s="70">
        <v>1782527.31</v>
      </c>
      <c r="C44" s="70">
        <v>31335.54</v>
      </c>
      <c r="D44" s="70">
        <v>8331.83</v>
      </c>
      <c r="E44" s="70">
        <v>0</v>
      </c>
      <c r="F44" s="70">
        <v>0</v>
      </c>
      <c r="G44" s="70">
        <v>39667.37</v>
      </c>
      <c r="H44" s="71"/>
      <c r="I44" s="71"/>
    </row>
    <row r="45" spans="1:9" ht="12.75">
      <c r="A45" s="72">
        <v>41024</v>
      </c>
      <c r="B45" s="70">
        <v>1751191.77</v>
      </c>
      <c r="C45" s="70">
        <v>31482.01</v>
      </c>
      <c r="D45" s="70">
        <v>8185.36</v>
      </c>
      <c r="E45" s="70">
        <v>0</v>
      </c>
      <c r="F45" s="70">
        <v>0</v>
      </c>
      <c r="G45" s="70">
        <v>39667.37</v>
      </c>
      <c r="H45" s="71"/>
      <c r="I45" s="71"/>
    </row>
    <row r="46" spans="1:9" ht="12.75">
      <c r="A46" s="72">
        <v>41054</v>
      </c>
      <c r="B46" s="70">
        <v>1719709.76</v>
      </c>
      <c r="C46" s="70">
        <v>31629.16</v>
      </c>
      <c r="D46" s="70">
        <v>8038.21</v>
      </c>
      <c r="E46" s="70">
        <v>0</v>
      </c>
      <c r="F46" s="70">
        <v>0</v>
      </c>
      <c r="G46" s="70">
        <v>39667.37</v>
      </c>
      <c r="H46" s="71"/>
      <c r="I46" s="71"/>
    </row>
    <row r="47" spans="1:9" ht="12.75">
      <c r="A47" s="72">
        <v>41085</v>
      </c>
      <c r="B47" s="70">
        <v>1688080.6</v>
      </c>
      <c r="C47" s="70">
        <v>31777</v>
      </c>
      <c r="D47" s="70">
        <v>7890.37</v>
      </c>
      <c r="E47" s="70">
        <v>0</v>
      </c>
      <c r="F47" s="70">
        <v>0</v>
      </c>
      <c r="G47" s="70">
        <v>39667.37</v>
      </c>
      <c r="H47" s="71"/>
      <c r="I47" s="71"/>
    </row>
    <row r="48" spans="1:9" ht="12.75">
      <c r="A48" s="72">
        <v>41115</v>
      </c>
      <c r="B48" s="70">
        <v>1656303.6</v>
      </c>
      <c r="C48" s="70">
        <v>31925.53</v>
      </c>
      <c r="D48" s="70">
        <v>7741.84</v>
      </c>
      <c r="E48" s="70">
        <v>0</v>
      </c>
      <c r="F48" s="70">
        <v>0</v>
      </c>
      <c r="G48" s="70">
        <v>39667.37</v>
      </c>
      <c r="H48" s="71"/>
      <c r="I48" s="71"/>
    </row>
    <row r="49" spans="1:9" ht="12.75">
      <c r="A49" s="72">
        <v>41146</v>
      </c>
      <c r="B49" s="70">
        <v>1624378.07</v>
      </c>
      <c r="C49" s="70">
        <v>32074.76</v>
      </c>
      <c r="D49" s="70">
        <v>7592.61</v>
      </c>
      <c r="E49" s="70">
        <v>0</v>
      </c>
      <c r="F49" s="70">
        <v>0</v>
      </c>
      <c r="G49" s="70">
        <v>39667.37</v>
      </c>
      <c r="H49" s="71"/>
      <c r="I49" s="71"/>
    </row>
    <row r="50" spans="1:9" ht="12.75">
      <c r="A50" s="72">
        <v>41177</v>
      </c>
      <c r="B50" s="70">
        <v>1592303.31</v>
      </c>
      <c r="C50" s="70">
        <v>32224.68</v>
      </c>
      <c r="D50" s="70">
        <v>7442.69</v>
      </c>
      <c r="E50" s="70">
        <v>0</v>
      </c>
      <c r="F50" s="70">
        <v>0</v>
      </c>
      <c r="G50" s="70">
        <v>39667.37</v>
      </c>
      <c r="H50" s="71"/>
      <c r="I50" s="71"/>
    </row>
    <row r="51" spans="1:9" ht="12.75">
      <c r="A51" s="72">
        <v>41207</v>
      </c>
      <c r="B51" s="70">
        <v>1560078.63</v>
      </c>
      <c r="C51" s="70">
        <v>32375.3</v>
      </c>
      <c r="D51" s="70">
        <v>7292.07</v>
      </c>
      <c r="E51" s="70">
        <v>0</v>
      </c>
      <c r="F51" s="70">
        <v>0</v>
      </c>
      <c r="G51" s="70">
        <v>39667.37</v>
      </c>
      <c r="H51" s="71"/>
      <c r="I51" s="71"/>
    </row>
    <row r="52" spans="1:9" ht="12.75">
      <c r="A52" s="72">
        <v>41238</v>
      </c>
      <c r="B52" s="70">
        <v>1527703.33</v>
      </c>
      <c r="C52" s="70">
        <v>32526.63</v>
      </c>
      <c r="D52" s="70">
        <v>7140.74</v>
      </c>
      <c r="E52" s="70">
        <v>0</v>
      </c>
      <c r="F52" s="70">
        <v>0</v>
      </c>
      <c r="G52" s="70">
        <v>39667.37</v>
      </c>
      <c r="H52" s="61"/>
      <c r="I52" s="61"/>
    </row>
    <row r="53" spans="1:9" ht="12.75">
      <c r="A53" s="72">
        <v>41268</v>
      </c>
      <c r="B53" s="70">
        <v>1495176.7</v>
      </c>
      <c r="C53" s="70">
        <v>32678.67</v>
      </c>
      <c r="D53" s="70">
        <v>6988.71</v>
      </c>
      <c r="E53" s="70">
        <v>0</v>
      </c>
      <c r="F53" s="70">
        <v>0</v>
      </c>
      <c r="G53" s="70">
        <v>39667.37</v>
      </c>
      <c r="H53" s="71">
        <f>SUM(C42:C53)</f>
        <v>382263.68</v>
      </c>
      <c r="I53" s="71">
        <f>SUM(D42:D53)</f>
        <v>93744.77000000002</v>
      </c>
    </row>
    <row r="54" spans="1:9" ht="12.75">
      <c r="A54" s="72">
        <v>41299</v>
      </c>
      <c r="B54" s="70">
        <v>1462498.04</v>
      </c>
      <c r="C54" s="70">
        <v>32831.41</v>
      </c>
      <c r="D54" s="70">
        <v>6835.96</v>
      </c>
      <c r="E54" s="70">
        <v>0</v>
      </c>
      <c r="F54" s="70">
        <v>0</v>
      </c>
      <c r="G54" s="70">
        <v>39667.37</v>
      </c>
      <c r="H54" s="71"/>
      <c r="I54" s="71"/>
    </row>
    <row r="55" spans="1:9" ht="12.75">
      <c r="A55" s="72">
        <v>41330</v>
      </c>
      <c r="B55" s="70">
        <v>1429666.62</v>
      </c>
      <c r="C55" s="70">
        <v>32984.87</v>
      </c>
      <c r="D55" s="70">
        <v>6682.5</v>
      </c>
      <c r="E55" s="70">
        <v>0</v>
      </c>
      <c r="F55" s="70">
        <v>0</v>
      </c>
      <c r="G55" s="70">
        <v>39667.37</v>
      </c>
      <c r="H55" s="71"/>
      <c r="I55" s="71"/>
    </row>
    <row r="56" spans="1:9" ht="12.75">
      <c r="A56" s="72">
        <v>41358</v>
      </c>
      <c r="B56" s="70">
        <v>1396681.75</v>
      </c>
      <c r="C56" s="70">
        <v>33139.05</v>
      </c>
      <c r="D56" s="70">
        <v>6528.32</v>
      </c>
      <c r="E56" s="70">
        <v>0</v>
      </c>
      <c r="F56" s="70">
        <v>0</v>
      </c>
      <c r="G56" s="70">
        <v>39667.37</v>
      </c>
      <c r="H56" s="71"/>
      <c r="I56" s="71"/>
    </row>
    <row r="57" spans="1:9" ht="12.75">
      <c r="A57" s="72">
        <v>41389</v>
      </c>
      <c r="B57" s="70">
        <v>1363542.71</v>
      </c>
      <c r="C57" s="70">
        <v>33293.94</v>
      </c>
      <c r="D57" s="70">
        <v>6373.43</v>
      </c>
      <c r="E57" s="70">
        <v>0</v>
      </c>
      <c r="F57" s="70">
        <v>0</v>
      </c>
      <c r="G57" s="70">
        <v>39667.37</v>
      </c>
      <c r="H57" s="71"/>
      <c r="I57" s="71"/>
    </row>
    <row r="58" spans="1:9" ht="12.75">
      <c r="A58" s="72">
        <v>41419</v>
      </c>
      <c r="B58" s="70">
        <v>1330248.76</v>
      </c>
      <c r="C58" s="70">
        <v>33449.57</v>
      </c>
      <c r="D58" s="70">
        <v>6217.8</v>
      </c>
      <c r="E58" s="70">
        <v>0</v>
      </c>
      <c r="F58" s="70">
        <v>0</v>
      </c>
      <c r="G58" s="70">
        <v>39667.37</v>
      </c>
      <c r="H58" s="71"/>
      <c r="I58" s="71"/>
    </row>
    <row r="59" spans="1:9" ht="12.75">
      <c r="A59" s="72">
        <v>41450</v>
      </c>
      <c r="B59" s="70">
        <v>1296799.2</v>
      </c>
      <c r="C59" s="70">
        <v>33605.91</v>
      </c>
      <c r="D59" s="70">
        <v>6061.46</v>
      </c>
      <c r="E59" s="70">
        <v>0</v>
      </c>
      <c r="F59" s="70">
        <v>0</v>
      </c>
      <c r="G59" s="70">
        <v>39667.37</v>
      </c>
      <c r="H59" s="71"/>
      <c r="I59" s="71"/>
    </row>
    <row r="60" spans="1:9" ht="12.75">
      <c r="A60" s="72">
        <v>41480</v>
      </c>
      <c r="B60" s="70">
        <v>1263193.28</v>
      </c>
      <c r="C60" s="70">
        <v>33762.99</v>
      </c>
      <c r="D60" s="70">
        <v>5904.38</v>
      </c>
      <c r="E60" s="70">
        <v>0</v>
      </c>
      <c r="F60" s="70">
        <v>0</v>
      </c>
      <c r="G60" s="70">
        <v>39667.37</v>
      </c>
      <c r="H60" s="71"/>
      <c r="I60" s="71"/>
    </row>
    <row r="61" spans="1:9" ht="12.75">
      <c r="A61" s="72">
        <v>41511</v>
      </c>
      <c r="B61" s="70">
        <v>1229430.29</v>
      </c>
      <c r="C61" s="70">
        <v>33920.81</v>
      </c>
      <c r="D61" s="70">
        <v>5746.56</v>
      </c>
      <c r="E61" s="70">
        <v>0</v>
      </c>
      <c r="F61" s="70">
        <v>0</v>
      </c>
      <c r="G61" s="70">
        <v>39667.37</v>
      </c>
      <c r="H61" s="71"/>
      <c r="I61" s="71"/>
    </row>
    <row r="62" spans="1:9" ht="12.75">
      <c r="A62" s="72">
        <v>41542</v>
      </c>
      <c r="B62" s="70">
        <v>1195509.48</v>
      </c>
      <c r="C62" s="70">
        <v>34079.36</v>
      </c>
      <c r="D62" s="70">
        <v>5588.01</v>
      </c>
      <c r="E62" s="70">
        <v>0</v>
      </c>
      <c r="F62" s="70">
        <v>0</v>
      </c>
      <c r="G62" s="70">
        <v>39667.37</v>
      </c>
      <c r="H62" s="71"/>
      <c r="I62" s="71"/>
    </row>
    <row r="63" spans="1:9" ht="12.75">
      <c r="A63" s="72">
        <v>41572</v>
      </c>
      <c r="B63" s="70">
        <v>1161430.12</v>
      </c>
      <c r="C63" s="70">
        <v>34238.65</v>
      </c>
      <c r="D63" s="70">
        <v>5428.72</v>
      </c>
      <c r="E63" s="70">
        <v>0</v>
      </c>
      <c r="F63" s="70">
        <v>0</v>
      </c>
      <c r="G63" s="70">
        <v>39667.37</v>
      </c>
      <c r="H63" s="71"/>
      <c r="I63" s="71"/>
    </row>
    <row r="64" spans="1:9" ht="12.75">
      <c r="A64" s="72">
        <v>41603</v>
      </c>
      <c r="B64" s="70">
        <v>1127191.47</v>
      </c>
      <c r="C64" s="70">
        <v>34398.69</v>
      </c>
      <c r="D64" s="70">
        <v>5268.68</v>
      </c>
      <c r="E64" s="70">
        <v>0</v>
      </c>
      <c r="F64" s="70">
        <v>0</v>
      </c>
      <c r="G64" s="70">
        <v>39667.37</v>
      </c>
      <c r="H64" s="61"/>
      <c r="I64" s="61"/>
    </row>
    <row r="65" spans="1:9" ht="12.75">
      <c r="A65" s="72">
        <v>41633</v>
      </c>
      <c r="B65" s="70">
        <v>1092792.78</v>
      </c>
      <c r="C65" s="70">
        <v>34559.47</v>
      </c>
      <c r="D65" s="70">
        <v>5107.9</v>
      </c>
      <c r="E65" s="70">
        <v>0</v>
      </c>
      <c r="F65" s="70">
        <v>0</v>
      </c>
      <c r="G65" s="70">
        <v>39667.37</v>
      </c>
      <c r="H65" s="71">
        <f>SUM(C54:C65)</f>
        <v>404264.7200000001</v>
      </c>
      <c r="I65" s="71">
        <f>SUM(D54:D65)</f>
        <v>71743.72</v>
      </c>
    </row>
    <row r="66" spans="1:9" ht="12.75">
      <c r="A66" s="73" t="s">
        <v>36</v>
      </c>
      <c r="B66" s="70"/>
      <c r="C66" s="75">
        <f>SUM(C11:C65)</f>
        <v>2331597.2100000004</v>
      </c>
      <c r="D66" s="75">
        <f>SUM(D11:D65)</f>
        <v>488406.91000000003</v>
      </c>
      <c r="E66" s="70">
        <f>SUM(E11:E65)</f>
        <v>12000</v>
      </c>
      <c r="F66" s="70">
        <f>SUM(F11:F65)</f>
        <v>610169.49</v>
      </c>
      <c r="G66" s="70">
        <f>SUM(G11:G65)</f>
        <v>3430173.570000006</v>
      </c>
      <c r="H66" s="74">
        <f>SUM(H17:H65)</f>
        <v>2331597.21</v>
      </c>
      <c r="I66" s="74">
        <f>SUM(I17:I65)</f>
        <v>488406.91000000003</v>
      </c>
    </row>
    <row r="67" spans="1:9" ht="12.75">
      <c r="A67" s="72">
        <v>41664</v>
      </c>
      <c r="B67" s="70">
        <v>1058233.3</v>
      </c>
      <c r="C67" s="70">
        <v>34721.01</v>
      </c>
      <c r="D67" s="70">
        <v>4946.36</v>
      </c>
      <c r="E67" s="70">
        <v>0</v>
      </c>
      <c r="F67" s="70">
        <v>0</v>
      </c>
      <c r="G67" s="70">
        <v>39667.37</v>
      </c>
      <c r="H67" s="71"/>
      <c r="I67" s="71"/>
    </row>
    <row r="68" spans="1:9" ht="12.75">
      <c r="A68" s="72">
        <v>41695</v>
      </c>
      <c r="B68" s="70">
        <v>1023512.29</v>
      </c>
      <c r="C68" s="70">
        <v>34883.3</v>
      </c>
      <c r="D68" s="70">
        <v>4784.07</v>
      </c>
      <c r="E68" s="70">
        <v>0</v>
      </c>
      <c r="F68" s="70">
        <v>0</v>
      </c>
      <c r="G68" s="70">
        <v>39667.37</v>
      </c>
      <c r="H68" s="71"/>
      <c r="I68" s="71"/>
    </row>
    <row r="69" spans="1:9" ht="12.75">
      <c r="A69" s="72">
        <v>41723</v>
      </c>
      <c r="B69" s="70">
        <v>988628.99</v>
      </c>
      <c r="C69" s="70">
        <v>35046.35</v>
      </c>
      <c r="D69" s="70">
        <v>4621.02</v>
      </c>
      <c r="E69" s="70">
        <v>0</v>
      </c>
      <c r="F69" s="70">
        <v>0</v>
      </c>
      <c r="G69" s="70">
        <v>39667.37</v>
      </c>
      <c r="H69" s="71"/>
      <c r="I69" s="71"/>
    </row>
    <row r="70" spans="1:9" ht="12.75">
      <c r="A70" s="72">
        <v>41754</v>
      </c>
      <c r="B70" s="70">
        <v>953582.63</v>
      </c>
      <c r="C70" s="70">
        <v>35210.17</v>
      </c>
      <c r="D70" s="70">
        <v>4457.2</v>
      </c>
      <c r="E70" s="70">
        <v>0</v>
      </c>
      <c r="F70" s="70">
        <v>0</v>
      </c>
      <c r="G70" s="70">
        <v>39667.37</v>
      </c>
      <c r="H70" s="71"/>
      <c r="I70" s="71"/>
    </row>
    <row r="71" spans="1:9" ht="12.75">
      <c r="A71" s="72">
        <v>41784</v>
      </c>
      <c r="B71" s="70">
        <v>918372.47</v>
      </c>
      <c r="C71" s="70">
        <v>35374.74</v>
      </c>
      <c r="D71" s="70">
        <v>4292.63</v>
      </c>
      <c r="E71" s="70">
        <v>0</v>
      </c>
      <c r="F71" s="70">
        <v>0</v>
      </c>
      <c r="G71" s="70">
        <v>39667.37</v>
      </c>
      <c r="H71" s="71"/>
      <c r="I71" s="71"/>
    </row>
    <row r="72" spans="1:9" ht="12.75">
      <c r="A72" s="72">
        <v>41815</v>
      </c>
      <c r="B72" s="70">
        <v>882997.72</v>
      </c>
      <c r="C72" s="70">
        <v>882997.72</v>
      </c>
      <c r="D72" s="70">
        <v>4127.28</v>
      </c>
      <c r="E72" s="70">
        <v>0</v>
      </c>
      <c r="F72" s="70">
        <v>0</v>
      </c>
      <c r="G72" s="70">
        <v>887125</v>
      </c>
      <c r="H72" s="61"/>
      <c r="I72" s="61"/>
    </row>
    <row r="73" spans="1:9" ht="12.75">
      <c r="A73" s="73" t="s">
        <v>36</v>
      </c>
      <c r="B73" s="70"/>
      <c r="C73" s="70">
        <v>3389830.51</v>
      </c>
      <c r="D73" s="70">
        <v>515635.45</v>
      </c>
      <c r="E73" s="70">
        <f>SUM(E12:E72)</f>
        <v>12000</v>
      </c>
      <c r="F73" s="70">
        <v>610169.49</v>
      </c>
      <c r="G73" s="70">
        <v>4515635.45</v>
      </c>
      <c r="H73" s="71"/>
      <c r="I73" s="71"/>
    </row>
    <row r="74" spans="1:9" ht="12.75">
      <c r="A74" s="61"/>
      <c r="B74" s="61">
        <f>B72/B11</f>
        <v>0.26048432728278204</v>
      </c>
      <c r="C74" s="71"/>
      <c r="D74" s="61"/>
      <c r="E74" s="61"/>
      <c r="F74" s="61"/>
      <c r="G74" s="61"/>
      <c r="H74" s="61"/>
      <c r="I74" s="61"/>
    </row>
  </sheetData>
  <mergeCells count="3">
    <mergeCell ref="C2:C7"/>
    <mergeCell ref="D6:E6"/>
    <mergeCell ref="D7:E7"/>
  </mergeCells>
  <printOptions/>
  <pageMargins left="0.5905511811023623" right="0.35433070866141736" top="0.59" bottom="0.47" header="0.27" footer="0.21"/>
  <pageSetup horizontalDpi="600" verticalDpi="600" orientation="portrait" paperSize="9" scale="75" r:id="rId2"/>
  <headerFooter alignWithMargins="0">
    <oddFooter>&amp;C&amp;F</oddFooter>
  </headerFooter>
  <ignoredErrors>
    <ignoredError sqref="F5" evalErro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I74"/>
  <sheetViews>
    <sheetView zoomScale="80" zoomScaleNormal="80" workbookViewId="0" topLeftCell="A1">
      <selection activeCell="M10" sqref="M10"/>
    </sheetView>
  </sheetViews>
  <sheetFormatPr defaultColWidth="9.140625" defaultRowHeight="12.75"/>
  <cols>
    <col min="1" max="1" width="15.421875" style="0" customWidth="1"/>
    <col min="2" max="2" width="14.140625" style="0" customWidth="1"/>
    <col min="3" max="3" width="10.140625" style="0" customWidth="1"/>
    <col min="4" max="4" width="11.8515625" style="0" customWidth="1"/>
    <col min="5" max="5" width="13.00390625" style="0" customWidth="1"/>
    <col min="6" max="6" width="12.421875" style="0" customWidth="1"/>
    <col min="7" max="7" width="10.28125" style="0" customWidth="1"/>
    <col min="8" max="8" width="12.28125" style="0" customWidth="1"/>
  </cols>
  <sheetData>
    <row r="1" spans="1:6" ht="15.75">
      <c r="A1" s="60" t="s">
        <v>81</v>
      </c>
      <c r="B1" s="61"/>
      <c r="C1" s="61"/>
      <c r="D1" s="61"/>
      <c r="E1" s="61"/>
      <c r="F1" s="61"/>
    </row>
    <row r="2" spans="1:6" ht="38.25">
      <c r="A2" s="62" t="s">
        <v>17</v>
      </c>
      <c r="B2" s="63"/>
      <c r="C2" s="187"/>
      <c r="D2" s="62" t="s">
        <v>27</v>
      </c>
      <c r="E2" s="63" t="s">
        <v>28</v>
      </c>
      <c r="F2" s="61"/>
    </row>
    <row r="3" spans="1:6" ht="25.5">
      <c r="A3" s="62" t="s">
        <v>18</v>
      </c>
      <c r="B3" s="63" t="s">
        <v>19</v>
      </c>
      <c r="C3" s="187"/>
      <c r="D3" s="62" t="s">
        <v>29</v>
      </c>
      <c r="E3" s="63" t="s">
        <v>83</v>
      </c>
      <c r="F3" s="61"/>
    </row>
    <row r="4" spans="1:6" ht="38.25">
      <c r="A4" s="62" t="s">
        <v>20</v>
      </c>
      <c r="B4" s="63" t="s">
        <v>21</v>
      </c>
      <c r="C4" s="187"/>
      <c r="D4" s="62" t="s">
        <v>30</v>
      </c>
      <c r="E4" s="63">
        <f>1600000*0.3%</f>
        <v>4800</v>
      </c>
      <c r="F4" s="78"/>
    </row>
    <row r="5" spans="1:6" ht="39" customHeight="1">
      <c r="A5" s="62" t="s">
        <v>22</v>
      </c>
      <c r="B5" s="63" t="s">
        <v>23</v>
      </c>
      <c r="C5" s="187"/>
      <c r="D5" s="187" t="s">
        <v>96</v>
      </c>
      <c r="E5" s="187"/>
      <c r="F5" s="61">
        <v>38400</v>
      </c>
    </row>
    <row r="6" spans="1:6" ht="25.5">
      <c r="A6" s="62" t="s">
        <v>24</v>
      </c>
      <c r="B6" s="63" t="s">
        <v>25</v>
      </c>
      <c r="C6" s="187"/>
      <c r="D6" s="187" t="s">
        <v>91</v>
      </c>
      <c r="E6" s="187"/>
      <c r="F6" s="61"/>
    </row>
    <row r="7" spans="1:6" ht="12.75">
      <c r="A7" s="62" t="s">
        <v>26</v>
      </c>
      <c r="B7" s="67">
        <v>0.18</v>
      </c>
      <c r="C7" s="187"/>
      <c r="D7" s="187"/>
      <c r="E7" s="187"/>
      <c r="F7" s="61"/>
    </row>
    <row r="10" spans="1:9" ht="12.75">
      <c r="A10" s="68" t="s">
        <v>31</v>
      </c>
      <c r="B10" s="68" t="s">
        <v>32</v>
      </c>
      <c r="C10" s="68" t="s">
        <v>33</v>
      </c>
      <c r="D10" s="68" t="s">
        <v>34</v>
      </c>
      <c r="E10" s="68" t="s">
        <v>35</v>
      </c>
      <c r="F10" s="68" t="s">
        <v>26</v>
      </c>
      <c r="G10" s="68" t="s">
        <v>3</v>
      </c>
      <c r="H10" s="68" t="s">
        <v>97</v>
      </c>
      <c r="I10" s="68" t="s">
        <v>37</v>
      </c>
    </row>
    <row r="11" spans="1:9" ht="12.75">
      <c r="A11" s="69">
        <v>39989</v>
      </c>
      <c r="B11" s="70">
        <v>1355932.2</v>
      </c>
      <c r="C11" s="70">
        <v>271186.44</v>
      </c>
      <c r="D11" s="70">
        <v>0</v>
      </c>
      <c r="E11" s="70">
        <f>E4</f>
        <v>4800</v>
      </c>
      <c r="F11" s="70">
        <v>244067.8</v>
      </c>
      <c r="G11" s="70">
        <v>515254.24</v>
      </c>
      <c r="H11" s="71"/>
      <c r="I11" s="71"/>
    </row>
    <row r="12" spans="1:9" ht="12.75">
      <c r="A12" s="72">
        <v>40019</v>
      </c>
      <c r="B12" s="70">
        <v>1084745.76</v>
      </c>
      <c r="C12" s="70">
        <v>15704.24</v>
      </c>
      <c r="D12" s="70">
        <v>5070.28</v>
      </c>
      <c r="E12" s="70">
        <v>0</v>
      </c>
      <c r="F12" s="70">
        <v>0</v>
      </c>
      <c r="G12" s="70">
        <v>20774.52</v>
      </c>
      <c r="H12" s="71"/>
      <c r="I12" s="71"/>
    </row>
    <row r="13" spans="1:9" ht="12.75">
      <c r="A13" s="72">
        <v>40050</v>
      </c>
      <c r="B13" s="70">
        <v>1069041.52</v>
      </c>
      <c r="C13" s="70">
        <v>15777.65</v>
      </c>
      <c r="D13" s="70">
        <v>4996.88</v>
      </c>
      <c r="E13" s="70">
        <v>0</v>
      </c>
      <c r="F13" s="70">
        <v>0</v>
      </c>
      <c r="G13" s="70">
        <v>20774.52</v>
      </c>
      <c r="H13" s="71"/>
      <c r="I13" s="71"/>
    </row>
    <row r="14" spans="1:9" ht="12.75">
      <c r="A14" s="72">
        <v>40081</v>
      </c>
      <c r="B14" s="70">
        <v>1053263.87</v>
      </c>
      <c r="C14" s="70">
        <v>15851.39</v>
      </c>
      <c r="D14" s="70">
        <v>4923.13</v>
      </c>
      <c r="E14" s="70">
        <v>0</v>
      </c>
      <c r="F14" s="70">
        <v>0</v>
      </c>
      <c r="G14" s="70">
        <v>20774.52</v>
      </c>
      <c r="H14" s="71"/>
      <c r="I14" s="71"/>
    </row>
    <row r="15" spans="1:9" ht="12.75">
      <c r="A15" s="72">
        <v>40111</v>
      </c>
      <c r="B15" s="70">
        <v>1037412.48</v>
      </c>
      <c r="C15" s="70">
        <v>15925.48</v>
      </c>
      <c r="D15" s="70">
        <v>4849.04</v>
      </c>
      <c r="E15" s="70">
        <v>0</v>
      </c>
      <c r="F15" s="70">
        <v>0</v>
      </c>
      <c r="G15" s="70">
        <v>20774.52</v>
      </c>
      <c r="H15" s="71"/>
      <c r="I15" s="71"/>
    </row>
    <row r="16" spans="1:9" ht="12.75">
      <c r="A16" s="72">
        <v>40142</v>
      </c>
      <c r="B16" s="70">
        <v>1021487</v>
      </c>
      <c r="C16" s="70">
        <v>15999.92</v>
      </c>
      <c r="D16" s="70">
        <v>4774.6</v>
      </c>
      <c r="E16" s="70">
        <v>0</v>
      </c>
      <c r="F16" s="70">
        <v>0</v>
      </c>
      <c r="G16" s="70">
        <v>20774.52</v>
      </c>
      <c r="H16" s="61"/>
      <c r="I16" s="61"/>
    </row>
    <row r="17" spans="1:9" ht="12.75">
      <c r="A17" s="72">
        <v>40172</v>
      </c>
      <c r="B17" s="70">
        <v>1005487.07</v>
      </c>
      <c r="C17" s="70">
        <v>16074.71</v>
      </c>
      <c r="D17" s="70">
        <v>4699.81</v>
      </c>
      <c r="E17" s="70">
        <v>0</v>
      </c>
      <c r="F17" s="70">
        <v>0</v>
      </c>
      <c r="G17" s="70">
        <v>20774.52</v>
      </c>
      <c r="H17" s="71">
        <f>SUM(C11:C17)</f>
        <v>366519.83</v>
      </c>
      <c r="I17" s="71">
        <f>SUM(D11:D17)</f>
        <v>29313.74</v>
      </c>
    </row>
    <row r="18" spans="1:9" ht="12.75">
      <c r="A18" s="72">
        <v>40203</v>
      </c>
      <c r="B18" s="70">
        <v>989412.36</v>
      </c>
      <c r="C18" s="70">
        <v>16149.85</v>
      </c>
      <c r="D18" s="70">
        <v>4624.68</v>
      </c>
      <c r="E18" s="70">
        <v>0</v>
      </c>
      <c r="F18" s="70">
        <v>0</v>
      </c>
      <c r="G18" s="70">
        <v>20774.52</v>
      </c>
      <c r="H18" s="71"/>
      <c r="I18" s="71"/>
    </row>
    <row r="19" spans="1:9" ht="12.75">
      <c r="A19" s="72">
        <v>40234</v>
      </c>
      <c r="B19" s="70">
        <v>973262.52</v>
      </c>
      <c r="C19" s="70">
        <v>16225.33</v>
      </c>
      <c r="D19" s="70">
        <v>4549.19</v>
      </c>
      <c r="E19" s="70">
        <v>0</v>
      </c>
      <c r="F19" s="70">
        <v>0</v>
      </c>
      <c r="G19" s="70">
        <v>20774.52</v>
      </c>
      <c r="H19" s="71"/>
      <c r="I19" s="71"/>
    </row>
    <row r="20" spans="1:9" ht="12.75">
      <c r="A20" s="72">
        <v>40262</v>
      </c>
      <c r="B20" s="70">
        <v>957037.19</v>
      </c>
      <c r="C20" s="70">
        <v>16301.17</v>
      </c>
      <c r="D20" s="70">
        <v>4473.35</v>
      </c>
      <c r="E20" s="70">
        <v>0</v>
      </c>
      <c r="F20" s="70">
        <v>0</v>
      </c>
      <c r="G20" s="70">
        <v>20774.52</v>
      </c>
      <c r="H20" s="71"/>
      <c r="I20" s="71"/>
    </row>
    <row r="21" spans="1:9" ht="12.75">
      <c r="A21" s="72">
        <v>40293</v>
      </c>
      <c r="B21" s="70">
        <v>940736.01</v>
      </c>
      <c r="C21" s="70">
        <v>16377.37</v>
      </c>
      <c r="D21" s="70">
        <v>4397.16</v>
      </c>
      <c r="E21" s="70">
        <v>0</v>
      </c>
      <c r="F21" s="70">
        <v>0</v>
      </c>
      <c r="G21" s="70">
        <v>20774.52</v>
      </c>
      <c r="H21" s="71"/>
      <c r="I21" s="71"/>
    </row>
    <row r="22" spans="1:9" ht="12.75">
      <c r="A22" s="72">
        <v>40323</v>
      </c>
      <c r="B22" s="70">
        <v>924358.65</v>
      </c>
      <c r="C22" s="70">
        <v>16453.92</v>
      </c>
      <c r="D22" s="70">
        <v>4320.61</v>
      </c>
      <c r="E22" s="70">
        <v>0</v>
      </c>
      <c r="F22" s="70">
        <v>0</v>
      </c>
      <c r="G22" s="70">
        <v>20774.52</v>
      </c>
      <c r="H22" s="71"/>
      <c r="I22" s="71"/>
    </row>
    <row r="23" spans="1:9" ht="12.75">
      <c r="A23" s="72">
        <v>40354</v>
      </c>
      <c r="B23" s="70">
        <v>907904.73</v>
      </c>
      <c r="C23" s="70">
        <v>16530.83</v>
      </c>
      <c r="D23" s="70">
        <v>4243.7</v>
      </c>
      <c r="E23" s="70">
        <v>0</v>
      </c>
      <c r="F23" s="70">
        <v>0</v>
      </c>
      <c r="G23" s="70">
        <v>20774.52</v>
      </c>
      <c r="H23" s="71"/>
      <c r="I23" s="71"/>
    </row>
    <row r="24" spans="1:9" ht="12.75">
      <c r="A24" s="72">
        <v>40384</v>
      </c>
      <c r="B24" s="70">
        <v>891373.91</v>
      </c>
      <c r="C24" s="70">
        <v>16608.09</v>
      </c>
      <c r="D24" s="70">
        <v>4166.43</v>
      </c>
      <c r="E24" s="70">
        <v>0</v>
      </c>
      <c r="F24" s="70">
        <v>0</v>
      </c>
      <c r="G24" s="70">
        <v>20774.52</v>
      </c>
      <c r="H24" s="71"/>
      <c r="I24" s="71"/>
    </row>
    <row r="25" spans="1:9" ht="12.75">
      <c r="A25" s="72">
        <v>40415</v>
      </c>
      <c r="B25" s="70">
        <v>874765.81</v>
      </c>
      <c r="C25" s="70">
        <v>16685.72</v>
      </c>
      <c r="D25" s="70">
        <v>4088.8</v>
      </c>
      <c r="E25" s="70">
        <v>0</v>
      </c>
      <c r="F25" s="70">
        <v>0</v>
      </c>
      <c r="G25" s="70">
        <v>20774.52</v>
      </c>
      <c r="H25" s="71"/>
      <c r="I25" s="71"/>
    </row>
    <row r="26" spans="1:9" ht="12.75">
      <c r="A26" s="72">
        <v>40446</v>
      </c>
      <c r="B26" s="70">
        <v>858080.09</v>
      </c>
      <c r="C26" s="70">
        <v>16763.71</v>
      </c>
      <c r="D26" s="70">
        <v>4010.81</v>
      </c>
      <c r="E26" s="70">
        <v>0</v>
      </c>
      <c r="F26" s="70">
        <v>0</v>
      </c>
      <c r="G26" s="70">
        <v>20774.52</v>
      </c>
      <c r="H26" s="71"/>
      <c r="I26" s="71"/>
    </row>
    <row r="27" spans="1:9" ht="12.75">
      <c r="A27" s="72">
        <v>40476</v>
      </c>
      <c r="B27" s="70">
        <v>841316.38</v>
      </c>
      <c r="C27" s="70">
        <v>16842.07</v>
      </c>
      <c r="D27" s="70">
        <v>3932.45</v>
      </c>
      <c r="E27" s="70">
        <v>0</v>
      </c>
      <c r="F27" s="70">
        <v>0</v>
      </c>
      <c r="G27" s="70">
        <v>20774.52</v>
      </c>
      <c r="H27" s="71"/>
      <c r="I27" s="71"/>
    </row>
    <row r="28" spans="1:9" ht="12.75">
      <c r="A28" s="72">
        <v>40507</v>
      </c>
      <c r="B28" s="70">
        <v>824474.31</v>
      </c>
      <c r="C28" s="70">
        <v>16920.79</v>
      </c>
      <c r="D28" s="70">
        <v>3853.73</v>
      </c>
      <c r="E28" s="70">
        <v>0</v>
      </c>
      <c r="F28" s="70">
        <v>0</v>
      </c>
      <c r="G28" s="70">
        <v>20774.52</v>
      </c>
      <c r="H28" s="61"/>
      <c r="I28" s="61"/>
    </row>
    <row r="29" spans="1:9" ht="12.75">
      <c r="A29" s="72">
        <v>40537</v>
      </c>
      <c r="B29" s="70">
        <v>807553.51</v>
      </c>
      <c r="C29" s="70">
        <v>16999.88</v>
      </c>
      <c r="D29" s="70">
        <v>3774.64</v>
      </c>
      <c r="E29" s="70">
        <v>0</v>
      </c>
      <c r="F29" s="70">
        <v>0</v>
      </c>
      <c r="G29" s="70">
        <v>20774.52</v>
      </c>
      <c r="H29" s="71">
        <f>SUM(C18:C29)</f>
        <v>198858.73</v>
      </c>
      <c r="I29" s="71">
        <f>SUM(D18:D29)</f>
        <v>50435.549999999996</v>
      </c>
    </row>
    <row r="30" spans="1:9" ht="12.75">
      <c r="A30" s="72">
        <v>40568</v>
      </c>
      <c r="B30" s="70">
        <v>790553.63</v>
      </c>
      <c r="C30" s="70">
        <v>17079.34</v>
      </c>
      <c r="D30" s="70">
        <v>3695.18</v>
      </c>
      <c r="E30" s="70">
        <v>0</v>
      </c>
      <c r="F30" s="70">
        <v>0</v>
      </c>
      <c r="G30" s="70">
        <v>20774.52</v>
      </c>
      <c r="H30" s="71"/>
      <c r="I30" s="71"/>
    </row>
    <row r="31" spans="1:9" ht="12.75">
      <c r="A31" s="72">
        <v>40599</v>
      </c>
      <c r="B31" s="70">
        <v>773474.29</v>
      </c>
      <c r="C31" s="70">
        <v>17159.18</v>
      </c>
      <c r="D31" s="70">
        <v>3615.35</v>
      </c>
      <c r="E31" s="70">
        <v>0</v>
      </c>
      <c r="F31" s="70">
        <v>0</v>
      </c>
      <c r="G31" s="70">
        <v>20774.52</v>
      </c>
      <c r="H31" s="71"/>
      <c r="I31" s="71"/>
    </row>
    <row r="32" spans="1:9" ht="12.75">
      <c r="A32" s="72">
        <v>40627</v>
      </c>
      <c r="B32" s="70">
        <v>756315.11</v>
      </c>
      <c r="C32" s="70">
        <v>17239.38</v>
      </c>
      <c r="D32" s="70">
        <v>3535.14</v>
      </c>
      <c r="E32" s="70">
        <v>0</v>
      </c>
      <c r="F32" s="70">
        <v>0</v>
      </c>
      <c r="G32" s="70">
        <v>20774.52</v>
      </c>
      <c r="H32" s="71"/>
      <c r="I32" s="71"/>
    </row>
    <row r="33" spans="1:9" ht="12.75">
      <c r="A33" s="72">
        <v>40658</v>
      </c>
      <c r="B33" s="70">
        <v>739075.73</v>
      </c>
      <c r="C33" s="70">
        <v>17319.96</v>
      </c>
      <c r="D33" s="70">
        <v>3454.56</v>
      </c>
      <c r="E33" s="70">
        <v>0</v>
      </c>
      <c r="F33" s="70">
        <v>0</v>
      </c>
      <c r="G33" s="70">
        <v>20774.52</v>
      </c>
      <c r="H33" s="71"/>
      <c r="I33" s="71"/>
    </row>
    <row r="34" spans="1:9" ht="12.75">
      <c r="A34" s="72">
        <v>40688</v>
      </c>
      <c r="B34" s="70">
        <v>721755.77</v>
      </c>
      <c r="C34" s="70">
        <v>17400.92</v>
      </c>
      <c r="D34" s="70">
        <v>3373.61</v>
      </c>
      <c r="E34" s="70">
        <v>0</v>
      </c>
      <c r="F34" s="70">
        <v>0</v>
      </c>
      <c r="G34" s="70">
        <v>20774.52</v>
      </c>
      <c r="H34" s="71"/>
      <c r="I34" s="71"/>
    </row>
    <row r="35" spans="1:9" ht="12.75">
      <c r="A35" s="72">
        <v>40719</v>
      </c>
      <c r="B35" s="70">
        <v>704354.85</v>
      </c>
      <c r="C35" s="70">
        <v>17482.25</v>
      </c>
      <c r="D35" s="70">
        <v>3292.27</v>
      </c>
      <c r="E35" s="70">
        <v>0</v>
      </c>
      <c r="F35" s="70">
        <v>0</v>
      </c>
      <c r="G35" s="70">
        <v>20774.52</v>
      </c>
      <c r="H35" s="71"/>
      <c r="I35" s="71"/>
    </row>
    <row r="36" spans="1:9" ht="12.75">
      <c r="A36" s="72">
        <v>40749</v>
      </c>
      <c r="B36" s="70">
        <v>686872.6</v>
      </c>
      <c r="C36" s="70">
        <v>17563.97</v>
      </c>
      <c r="D36" s="70">
        <v>3210.56</v>
      </c>
      <c r="E36" s="70">
        <v>0</v>
      </c>
      <c r="F36" s="70">
        <v>0</v>
      </c>
      <c r="G36" s="70">
        <v>20774.52</v>
      </c>
      <c r="H36" s="71"/>
      <c r="I36" s="71"/>
    </row>
    <row r="37" spans="1:9" ht="12.75">
      <c r="A37" s="72">
        <v>40780</v>
      </c>
      <c r="B37" s="70">
        <v>669308.63</v>
      </c>
      <c r="C37" s="70">
        <v>17646.06</v>
      </c>
      <c r="D37" s="70">
        <v>3128.46</v>
      </c>
      <c r="E37" s="70">
        <v>0</v>
      </c>
      <c r="F37" s="70">
        <v>0</v>
      </c>
      <c r="G37" s="70">
        <v>20774.52</v>
      </c>
      <c r="H37" s="71"/>
      <c r="I37" s="71"/>
    </row>
    <row r="38" spans="1:9" ht="12.75">
      <c r="A38" s="72">
        <v>40811</v>
      </c>
      <c r="B38" s="70">
        <v>651662.57</v>
      </c>
      <c r="C38" s="70">
        <v>17728.54</v>
      </c>
      <c r="D38" s="70">
        <v>3045.98</v>
      </c>
      <c r="E38" s="70">
        <v>0</v>
      </c>
      <c r="F38" s="70">
        <v>0</v>
      </c>
      <c r="G38" s="70">
        <v>20774.52</v>
      </c>
      <c r="H38" s="71"/>
      <c r="I38" s="71"/>
    </row>
    <row r="39" spans="1:9" ht="12.75">
      <c r="A39" s="72">
        <v>40841</v>
      </c>
      <c r="B39" s="70">
        <v>633934.03</v>
      </c>
      <c r="C39" s="70">
        <v>17811.41</v>
      </c>
      <c r="D39" s="70">
        <v>2963.11</v>
      </c>
      <c r="E39" s="70">
        <v>0</v>
      </c>
      <c r="F39" s="70">
        <v>0</v>
      </c>
      <c r="G39" s="70">
        <v>20774.52</v>
      </c>
      <c r="H39" s="71"/>
      <c r="I39" s="71"/>
    </row>
    <row r="40" spans="1:9" ht="12.75">
      <c r="A40" s="72">
        <v>40872</v>
      </c>
      <c r="B40" s="70">
        <v>616122.62</v>
      </c>
      <c r="C40" s="70">
        <v>17894.66</v>
      </c>
      <c r="D40" s="70">
        <v>2879.86</v>
      </c>
      <c r="E40" s="70">
        <v>0</v>
      </c>
      <c r="F40" s="70">
        <v>0</v>
      </c>
      <c r="G40" s="70">
        <v>20774.52</v>
      </c>
      <c r="H40" s="61"/>
      <c r="I40" s="61"/>
    </row>
    <row r="41" spans="1:9" ht="12.75">
      <c r="A41" s="72">
        <v>40902</v>
      </c>
      <c r="B41" s="70">
        <v>598227.95</v>
      </c>
      <c r="C41" s="70">
        <v>17978.31</v>
      </c>
      <c r="D41" s="70">
        <v>2796.22</v>
      </c>
      <c r="E41" s="70">
        <v>0</v>
      </c>
      <c r="F41" s="70">
        <v>0</v>
      </c>
      <c r="G41" s="70">
        <v>20774.52</v>
      </c>
      <c r="H41" s="71">
        <f>SUM(C30:C41)</f>
        <v>210303.98000000004</v>
      </c>
      <c r="I41" s="71">
        <f>SUM(D30:D41)</f>
        <v>38990.3</v>
      </c>
    </row>
    <row r="42" spans="1:9" ht="12.75">
      <c r="A42" s="72">
        <v>40933</v>
      </c>
      <c r="B42" s="70">
        <v>580249.65</v>
      </c>
      <c r="C42" s="70">
        <v>18062.34</v>
      </c>
      <c r="D42" s="70">
        <v>2712.18</v>
      </c>
      <c r="E42" s="70">
        <v>0</v>
      </c>
      <c r="F42" s="70">
        <v>0</v>
      </c>
      <c r="G42" s="70">
        <v>20774.52</v>
      </c>
      <c r="H42" s="71"/>
      <c r="I42" s="71"/>
    </row>
    <row r="43" spans="1:9" ht="12.75">
      <c r="A43" s="72">
        <v>40964</v>
      </c>
      <c r="B43" s="70">
        <v>562187.31</v>
      </c>
      <c r="C43" s="70">
        <v>18146.77</v>
      </c>
      <c r="D43" s="70">
        <v>2627.76</v>
      </c>
      <c r="E43" s="70">
        <v>0</v>
      </c>
      <c r="F43" s="70">
        <v>0</v>
      </c>
      <c r="G43" s="70">
        <v>20774.52</v>
      </c>
      <c r="H43" s="71"/>
      <c r="I43" s="71"/>
    </row>
    <row r="44" spans="1:9" ht="12.75">
      <c r="A44" s="72">
        <v>40993</v>
      </c>
      <c r="B44" s="70">
        <v>544040.54</v>
      </c>
      <c r="C44" s="70">
        <v>18231.59</v>
      </c>
      <c r="D44" s="70">
        <v>2542.94</v>
      </c>
      <c r="E44" s="70">
        <v>0</v>
      </c>
      <c r="F44" s="70">
        <v>0</v>
      </c>
      <c r="G44" s="70">
        <v>20774.52</v>
      </c>
      <c r="H44" s="71"/>
      <c r="I44" s="71"/>
    </row>
    <row r="45" spans="1:9" ht="12.75">
      <c r="A45" s="72">
        <v>41024</v>
      </c>
      <c r="B45" s="70">
        <v>525808.95</v>
      </c>
      <c r="C45" s="70">
        <v>18316.8</v>
      </c>
      <c r="D45" s="70">
        <v>2457.72</v>
      </c>
      <c r="E45" s="70">
        <v>0</v>
      </c>
      <c r="F45" s="70">
        <v>0</v>
      </c>
      <c r="G45" s="70">
        <v>20774.52</v>
      </c>
      <c r="H45" s="71"/>
      <c r="I45" s="71"/>
    </row>
    <row r="46" spans="1:9" ht="12.75">
      <c r="A46" s="72">
        <v>41054</v>
      </c>
      <c r="B46" s="70">
        <v>507492.15</v>
      </c>
      <c r="C46" s="70">
        <v>18402.42</v>
      </c>
      <c r="D46" s="70">
        <v>2372.1</v>
      </c>
      <c r="E46" s="70">
        <v>0</v>
      </c>
      <c r="F46" s="70">
        <v>0</v>
      </c>
      <c r="G46" s="70">
        <v>20774.52</v>
      </c>
      <c r="H46" s="71"/>
      <c r="I46" s="71"/>
    </row>
    <row r="47" spans="1:9" ht="12.75">
      <c r="A47" s="72">
        <v>41085</v>
      </c>
      <c r="B47" s="70">
        <v>489089.73</v>
      </c>
      <c r="C47" s="70">
        <v>18488.44</v>
      </c>
      <c r="D47" s="70">
        <v>2286.09</v>
      </c>
      <c r="E47" s="70">
        <v>0</v>
      </c>
      <c r="F47" s="70">
        <v>0</v>
      </c>
      <c r="G47" s="70">
        <v>20774.52</v>
      </c>
      <c r="H47" s="71"/>
      <c r="I47" s="71"/>
    </row>
    <row r="48" spans="1:9" ht="12.75">
      <c r="A48" s="72">
        <v>41115</v>
      </c>
      <c r="B48" s="70">
        <v>470601.29</v>
      </c>
      <c r="C48" s="70">
        <v>18574.85</v>
      </c>
      <c r="D48" s="70">
        <v>2199.67</v>
      </c>
      <c r="E48" s="70">
        <v>0</v>
      </c>
      <c r="F48" s="70">
        <v>0</v>
      </c>
      <c r="G48" s="70">
        <v>20774.52</v>
      </c>
      <c r="H48" s="71"/>
      <c r="I48" s="71"/>
    </row>
    <row r="49" spans="1:9" ht="12.75">
      <c r="A49" s="72">
        <v>41146</v>
      </c>
      <c r="B49" s="70">
        <v>452026.44</v>
      </c>
      <c r="C49" s="70">
        <v>18661.68</v>
      </c>
      <c r="D49" s="70">
        <v>2112.85</v>
      </c>
      <c r="E49" s="70">
        <v>0</v>
      </c>
      <c r="F49" s="70">
        <v>0</v>
      </c>
      <c r="G49" s="70">
        <v>20774.52</v>
      </c>
      <c r="H49" s="71"/>
      <c r="I49" s="71"/>
    </row>
    <row r="50" spans="1:9" ht="12.75">
      <c r="A50" s="72">
        <v>41177</v>
      </c>
      <c r="B50" s="70">
        <v>433364.76</v>
      </c>
      <c r="C50" s="70">
        <v>18748.9</v>
      </c>
      <c r="D50" s="70">
        <v>2025.62</v>
      </c>
      <c r="E50" s="70">
        <v>0</v>
      </c>
      <c r="F50" s="70">
        <v>0</v>
      </c>
      <c r="G50" s="70">
        <v>20774.52</v>
      </c>
      <c r="H50" s="71"/>
      <c r="I50" s="71"/>
    </row>
    <row r="51" spans="1:9" ht="12.75">
      <c r="A51" s="72">
        <v>41207</v>
      </c>
      <c r="B51" s="70">
        <v>414615.86</v>
      </c>
      <c r="C51" s="70">
        <v>18836.54</v>
      </c>
      <c r="D51" s="70">
        <v>1937.98</v>
      </c>
      <c r="E51" s="70">
        <v>0</v>
      </c>
      <c r="F51" s="70">
        <v>0</v>
      </c>
      <c r="G51" s="70">
        <v>20774.52</v>
      </c>
      <c r="H51" s="71"/>
      <c r="I51" s="71"/>
    </row>
    <row r="52" spans="1:9" ht="12.75">
      <c r="A52" s="72">
        <v>41238</v>
      </c>
      <c r="B52" s="70">
        <v>395779.32</v>
      </c>
      <c r="C52" s="70">
        <v>18924.58</v>
      </c>
      <c r="D52" s="70">
        <v>1849.94</v>
      </c>
      <c r="E52" s="70">
        <v>0</v>
      </c>
      <c r="F52" s="70">
        <v>0</v>
      </c>
      <c r="G52" s="70">
        <v>20774.52</v>
      </c>
      <c r="H52" s="61"/>
      <c r="I52" s="61"/>
    </row>
    <row r="53" spans="1:9" ht="12.75">
      <c r="A53" s="72">
        <v>41268</v>
      </c>
      <c r="B53" s="70">
        <v>376854.73</v>
      </c>
      <c r="C53" s="70">
        <v>19013.04</v>
      </c>
      <c r="D53" s="70">
        <v>1761.48</v>
      </c>
      <c r="E53" s="70">
        <v>0</v>
      </c>
      <c r="F53" s="70">
        <v>0</v>
      </c>
      <c r="G53" s="70">
        <v>20774.52</v>
      </c>
      <c r="H53" s="71">
        <f>SUM(C42:C53)</f>
        <v>222407.94999999998</v>
      </c>
      <c r="I53" s="71">
        <f>SUM(D42:D53)</f>
        <v>26886.329999999994</v>
      </c>
    </row>
    <row r="54" spans="1:9" ht="12.75">
      <c r="A54" s="72">
        <v>41299</v>
      </c>
      <c r="B54" s="70">
        <v>357841.69</v>
      </c>
      <c r="C54" s="70">
        <v>19101.91</v>
      </c>
      <c r="D54" s="70">
        <v>1672.61</v>
      </c>
      <c r="E54" s="70">
        <v>0</v>
      </c>
      <c r="F54" s="70">
        <v>0</v>
      </c>
      <c r="G54" s="70">
        <v>20774.52</v>
      </c>
      <c r="H54" s="71"/>
      <c r="I54" s="71"/>
    </row>
    <row r="55" spans="1:9" ht="12.75">
      <c r="A55" s="72">
        <v>41330</v>
      </c>
      <c r="B55" s="70">
        <v>338739.78</v>
      </c>
      <c r="C55" s="70">
        <v>19191.2</v>
      </c>
      <c r="D55" s="70">
        <v>1583.33</v>
      </c>
      <c r="E55" s="70">
        <v>0</v>
      </c>
      <c r="F55" s="70">
        <v>0</v>
      </c>
      <c r="G55" s="70">
        <v>20774.52</v>
      </c>
      <c r="H55" s="71"/>
      <c r="I55" s="71"/>
    </row>
    <row r="56" spans="1:9" ht="12.75">
      <c r="A56" s="72">
        <v>41358</v>
      </c>
      <c r="B56" s="70">
        <v>319548.58</v>
      </c>
      <c r="C56" s="70">
        <v>19280.9</v>
      </c>
      <c r="D56" s="70">
        <v>1493.62</v>
      </c>
      <c r="E56" s="70">
        <v>0</v>
      </c>
      <c r="F56" s="70">
        <v>0</v>
      </c>
      <c r="G56" s="70">
        <v>20774.52</v>
      </c>
      <c r="H56" s="71"/>
      <c r="I56" s="71"/>
    </row>
    <row r="57" spans="1:9" ht="12.75">
      <c r="A57" s="72">
        <v>41389</v>
      </c>
      <c r="B57" s="70">
        <v>300267.68</v>
      </c>
      <c r="C57" s="70">
        <v>19371.02</v>
      </c>
      <c r="D57" s="70">
        <v>1403.5</v>
      </c>
      <c r="E57" s="70">
        <v>0</v>
      </c>
      <c r="F57" s="70">
        <v>0</v>
      </c>
      <c r="G57" s="70">
        <v>20774.52</v>
      </c>
      <c r="H57" s="71"/>
      <c r="I57" s="71"/>
    </row>
    <row r="58" spans="1:9" ht="12.75">
      <c r="A58" s="72">
        <v>41419</v>
      </c>
      <c r="B58" s="70">
        <v>280896.66</v>
      </c>
      <c r="C58" s="70">
        <v>19461.57</v>
      </c>
      <c r="D58" s="70">
        <v>1312.96</v>
      </c>
      <c r="E58" s="70">
        <v>0</v>
      </c>
      <c r="F58" s="70">
        <v>0</v>
      </c>
      <c r="G58" s="70">
        <v>20774.52</v>
      </c>
      <c r="H58" s="71"/>
      <c r="I58" s="71"/>
    </row>
    <row r="59" spans="1:9" ht="12.75">
      <c r="A59" s="72">
        <v>41450</v>
      </c>
      <c r="B59" s="70">
        <v>261435.09</v>
      </c>
      <c r="C59" s="70">
        <v>19552.53</v>
      </c>
      <c r="D59" s="70">
        <v>1221.99</v>
      </c>
      <c r="E59" s="70">
        <v>0</v>
      </c>
      <c r="F59" s="70">
        <v>0</v>
      </c>
      <c r="G59" s="70">
        <v>20774.52</v>
      </c>
      <c r="H59" s="71"/>
      <c r="I59" s="71"/>
    </row>
    <row r="60" spans="1:9" ht="12.75">
      <c r="A60" s="72">
        <v>41480</v>
      </c>
      <c r="B60" s="70">
        <v>241882.56</v>
      </c>
      <c r="C60" s="70">
        <v>19643.92</v>
      </c>
      <c r="D60" s="70">
        <v>1130.6</v>
      </c>
      <c r="E60" s="70">
        <v>0</v>
      </c>
      <c r="F60" s="70">
        <v>0</v>
      </c>
      <c r="G60" s="70">
        <v>20774.52</v>
      </c>
      <c r="H60" s="71"/>
      <c r="I60" s="71"/>
    </row>
    <row r="61" spans="1:9" ht="12.75">
      <c r="A61" s="72">
        <v>41511</v>
      </c>
      <c r="B61" s="70">
        <v>222238.64</v>
      </c>
      <c r="C61" s="70">
        <v>19735.74</v>
      </c>
      <c r="D61" s="70">
        <v>1038.78</v>
      </c>
      <c r="E61" s="70">
        <v>0</v>
      </c>
      <c r="F61" s="70">
        <v>0</v>
      </c>
      <c r="G61" s="70">
        <v>20774.52</v>
      </c>
      <c r="H61" s="71"/>
      <c r="I61" s="71"/>
    </row>
    <row r="62" spans="1:9" ht="12.75">
      <c r="A62" s="72">
        <v>41542</v>
      </c>
      <c r="B62" s="70">
        <v>202502.89</v>
      </c>
      <c r="C62" s="70">
        <v>19827.99</v>
      </c>
      <c r="D62" s="70">
        <v>946.53</v>
      </c>
      <c r="E62" s="70">
        <v>0</v>
      </c>
      <c r="F62" s="70">
        <v>0</v>
      </c>
      <c r="G62" s="70">
        <v>20774.52</v>
      </c>
      <c r="H62" s="71"/>
      <c r="I62" s="71"/>
    </row>
    <row r="63" spans="1:9" ht="12.75">
      <c r="A63" s="72">
        <v>41572</v>
      </c>
      <c r="B63" s="70">
        <v>182674.9</v>
      </c>
      <c r="C63" s="70">
        <v>19920.67</v>
      </c>
      <c r="D63" s="70">
        <v>853.85</v>
      </c>
      <c r="E63" s="70">
        <v>0</v>
      </c>
      <c r="F63" s="70">
        <v>0</v>
      </c>
      <c r="G63" s="70">
        <v>20774.52</v>
      </c>
      <c r="H63" s="71"/>
      <c r="I63" s="71"/>
    </row>
    <row r="64" spans="1:9" ht="12.75">
      <c r="A64" s="72">
        <v>41603</v>
      </c>
      <c r="B64" s="70">
        <v>162754.23</v>
      </c>
      <c r="C64" s="70">
        <v>20013.78</v>
      </c>
      <c r="D64" s="70">
        <v>760.74</v>
      </c>
      <c r="E64" s="70">
        <v>0</v>
      </c>
      <c r="F64" s="70">
        <v>0</v>
      </c>
      <c r="G64" s="70">
        <v>20774.52</v>
      </c>
      <c r="H64" s="61"/>
      <c r="I64" s="61"/>
    </row>
    <row r="65" spans="1:9" ht="12.75">
      <c r="A65" s="72">
        <v>41633</v>
      </c>
      <c r="B65" s="70">
        <v>142740.45</v>
      </c>
      <c r="C65" s="70">
        <v>20107.33</v>
      </c>
      <c r="D65" s="70">
        <v>667.19</v>
      </c>
      <c r="E65" s="70">
        <v>0</v>
      </c>
      <c r="F65" s="70">
        <v>0</v>
      </c>
      <c r="G65" s="70">
        <v>20774.52</v>
      </c>
      <c r="H65" s="71">
        <f>SUM(C54:C65)</f>
        <v>235208.55999999994</v>
      </c>
      <c r="I65" s="71">
        <f>SUM(D54:D65)</f>
        <v>14085.700000000003</v>
      </c>
    </row>
    <row r="66" spans="1:9" ht="12.75">
      <c r="A66" s="73" t="s">
        <v>36</v>
      </c>
      <c r="B66" s="71"/>
      <c r="C66" s="74">
        <f>SUM(C11:C65)</f>
        <v>1233299.0500000003</v>
      </c>
      <c r="D66" s="74">
        <f>SUM(D11:D65)</f>
        <v>159711.61999999997</v>
      </c>
      <c r="E66" s="71">
        <f>SUM(E11:E65)</f>
        <v>4800</v>
      </c>
      <c r="F66" s="71">
        <f>SUM(F11:F65)</f>
        <v>244067.8</v>
      </c>
      <c r="G66" s="71">
        <f>SUM(G11:G65)</f>
        <v>1637078.320000001</v>
      </c>
      <c r="H66" s="74">
        <f>SUM(H17:H65)</f>
        <v>1233299.0499999998</v>
      </c>
      <c r="I66" s="74">
        <f>SUM(I17:I65)</f>
        <v>159711.62</v>
      </c>
    </row>
    <row r="67" spans="1:9" ht="12.75">
      <c r="A67" s="72">
        <v>41664</v>
      </c>
      <c r="B67" s="70">
        <v>122633.12</v>
      </c>
      <c r="C67" s="70">
        <v>20201.32</v>
      </c>
      <c r="D67" s="70">
        <v>573.21</v>
      </c>
      <c r="E67" s="70">
        <v>0</v>
      </c>
      <c r="F67" s="70">
        <v>0</v>
      </c>
      <c r="G67" s="70">
        <v>20774.52</v>
      </c>
      <c r="H67" s="71"/>
      <c r="I67" s="71"/>
    </row>
    <row r="68" spans="1:9" ht="12.75">
      <c r="A68" s="72">
        <v>41695</v>
      </c>
      <c r="B68" s="70">
        <v>102431.8</v>
      </c>
      <c r="C68" s="70">
        <v>20295.74</v>
      </c>
      <c r="D68" s="70">
        <v>478.78</v>
      </c>
      <c r="E68" s="70">
        <v>0</v>
      </c>
      <c r="F68" s="70">
        <v>0</v>
      </c>
      <c r="G68" s="70">
        <v>20774.52</v>
      </c>
      <c r="H68" s="71"/>
      <c r="I68" s="71"/>
    </row>
    <row r="69" spans="1:9" ht="12.75">
      <c r="A69" s="72">
        <v>41723</v>
      </c>
      <c r="B69" s="70">
        <v>82136.06</v>
      </c>
      <c r="C69" s="70">
        <v>20390.61</v>
      </c>
      <c r="D69" s="70">
        <v>383.92</v>
      </c>
      <c r="E69" s="70">
        <v>0</v>
      </c>
      <c r="F69" s="70">
        <v>0</v>
      </c>
      <c r="G69" s="70">
        <v>20774.52</v>
      </c>
      <c r="H69" s="71"/>
      <c r="I69" s="71"/>
    </row>
    <row r="70" spans="1:9" ht="12.75">
      <c r="A70" s="72">
        <v>41754</v>
      </c>
      <c r="B70" s="70">
        <v>61745.46</v>
      </c>
      <c r="C70" s="70">
        <v>20485.91</v>
      </c>
      <c r="D70" s="70">
        <v>288.61</v>
      </c>
      <c r="E70" s="70">
        <v>0</v>
      </c>
      <c r="F70" s="70">
        <v>0</v>
      </c>
      <c r="G70" s="70">
        <v>20774.52</v>
      </c>
      <c r="H70" s="71"/>
      <c r="I70" s="71"/>
    </row>
    <row r="71" spans="1:9" ht="12.75">
      <c r="A71" s="72">
        <v>41784</v>
      </c>
      <c r="B71" s="70">
        <v>41259.54</v>
      </c>
      <c r="C71" s="70">
        <v>20581.67</v>
      </c>
      <c r="D71" s="70">
        <v>192.85</v>
      </c>
      <c r="E71" s="70">
        <v>0</v>
      </c>
      <c r="F71" s="70">
        <v>0</v>
      </c>
      <c r="G71" s="70">
        <v>20774.52</v>
      </c>
      <c r="H71" s="71"/>
      <c r="I71" s="71"/>
    </row>
    <row r="72" spans="1:9" ht="12.75">
      <c r="A72" s="72">
        <v>41815</v>
      </c>
      <c r="B72" s="70">
        <v>20677.87</v>
      </c>
      <c r="C72" s="70">
        <v>20677.87</v>
      </c>
      <c r="D72" s="70">
        <v>96.65</v>
      </c>
      <c r="E72" s="70">
        <v>0</v>
      </c>
      <c r="F72" s="70">
        <v>0</v>
      </c>
      <c r="G72" s="70">
        <v>20774.52</v>
      </c>
      <c r="H72" s="71"/>
      <c r="I72" s="71"/>
    </row>
    <row r="73" spans="1:9" ht="12.75">
      <c r="A73" s="73" t="s">
        <v>36</v>
      </c>
      <c r="B73" s="70"/>
      <c r="C73" s="70">
        <f>SUM(C66:C72)</f>
        <v>1355932.1700000004</v>
      </c>
      <c r="D73" s="70">
        <f>SUM(D66:D72)</f>
        <v>161725.63999999996</v>
      </c>
      <c r="E73" s="70">
        <f>SUM(E66:E72)</f>
        <v>4800</v>
      </c>
      <c r="F73" s="70">
        <f>SUM(F66:F72)</f>
        <v>244067.8</v>
      </c>
      <c r="G73" s="70">
        <f>SUM(G66:G72)</f>
        <v>1761725.440000001</v>
      </c>
      <c r="H73" s="71"/>
      <c r="I73" s="71"/>
    </row>
    <row r="74" spans="1:9" ht="12.75">
      <c r="A74" s="79"/>
      <c r="B74" s="80"/>
      <c r="C74" s="71"/>
      <c r="D74" s="71"/>
      <c r="E74" s="71"/>
      <c r="F74" s="71"/>
      <c r="G74" s="71"/>
      <c r="H74" s="71"/>
      <c r="I74" s="71"/>
    </row>
  </sheetData>
  <mergeCells count="4">
    <mergeCell ref="C2:C7"/>
    <mergeCell ref="D5:E5"/>
    <mergeCell ref="D6:E6"/>
    <mergeCell ref="D7:E7"/>
  </mergeCells>
  <printOptions/>
  <pageMargins left="0.5905511811023623" right="0.35433070866141736" top="0.47" bottom="0.45" header="0.25" footer="0.16"/>
  <pageSetup horizontalDpi="600" verticalDpi="600" orientation="portrait" paperSize="9" scale="75" r:id="rId2"/>
  <headerFooter alignWithMargins="0">
    <oddFooter>&amp;C&amp;F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zoomScale="80" zoomScaleNormal="80" workbookViewId="0" topLeftCell="A2">
      <selection activeCell="N6" sqref="N6"/>
    </sheetView>
  </sheetViews>
  <sheetFormatPr defaultColWidth="9.140625" defaultRowHeight="12.75"/>
  <cols>
    <col min="1" max="1" width="16.7109375" style="0" customWidth="1"/>
    <col min="2" max="2" width="10.140625" style="0" customWidth="1"/>
    <col min="3" max="3" width="10.8515625" style="0" customWidth="1"/>
    <col min="4" max="4" width="14.00390625" style="0" customWidth="1"/>
    <col min="5" max="5" width="12.140625" style="0" customWidth="1"/>
    <col min="6" max="6" width="10.421875" style="0" customWidth="1"/>
    <col min="7" max="7" width="12.00390625" style="0" customWidth="1"/>
    <col min="8" max="8" width="10.28125" style="0" customWidth="1"/>
  </cols>
  <sheetData>
    <row r="1" spans="1:7" ht="15.75">
      <c r="A1" s="60" t="s">
        <v>95</v>
      </c>
      <c r="B1" s="61"/>
      <c r="C1" s="61"/>
      <c r="D1" s="61"/>
      <c r="E1" s="61"/>
      <c r="F1" s="61"/>
      <c r="G1" s="61"/>
    </row>
    <row r="2" spans="1:7" ht="25.5">
      <c r="A2" s="62" t="s">
        <v>17</v>
      </c>
      <c r="B2" s="63"/>
      <c r="C2" s="187"/>
      <c r="D2" s="62" t="s">
        <v>27</v>
      </c>
      <c r="E2" s="63" t="s">
        <v>28</v>
      </c>
      <c r="F2" s="61"/>
      <c r="G2" s="61"/>
    </row>
    <row r="3" spans="1:7" ht="12.75">
      <c r="A3" s="62" t="s">
        <v>18</v>
      </c>
      <c r="B3" s="64" t="s">
        <v>19</v>
      </c>
      <c r="C3" s="187"/>
      <c r="D3" s="62" t="s">
        <v>29</v>
      </c>
      <c r="E3" s="63" t="s">
        <v>83</v>
      </c>
      <c r="F3" s="61"/>
      <c r="G3" s="61"/>
    </row>
    <row r="4" spans="1:7" ht="36.75" customHeight="1">
      <c r="A4" s="62" t="s">
        <v>20</v>
      </c>
      <c r="B4" s="63" t="s">
        <v>92</v>
      </c>
      <c r="C4" s="187"/>
      <c r="D4" s="62" t="s">
        <v>30</v>
      </c>
      <c r="E4" s="61">
        <f>3000000*0.3%</f>
        <v>9000</v>
      </c>
      <c r="F4" s="65" t="s">
        <v>98</v>
      </c>
      <c r="G4" s="61">
        <f>9000*19</f>
        <v>171000</v>
      </c>
    </row>
    <row r="5" spans="1:7" ht="39.75" customHeight="1">
      <c r="A5" s="62" t="s">
        <v>22</v>
      </c>
      <c r="B5" s="63">
        <v>2542372.88</v>
      </c>
      <c r="C5" s="187"/>
      <c r="D5" s="62" t="s">
        <v>84</v>
      </c>
      <c r="E5" s="63">
        <v>508474.58</v>
      </c>
      <c r="F5" s="66">
        <f>E5/B5</f>
        <v>0.20000000157333334</v>
      </c>
      <c r="G5" s="61"/>
    </row>
    <row r="6" spans="1:7" ht="32.25" customHeight="1">
      <c r="A6" s="62" t="s">
        <v>24</v>
      </c>
      <c r="B6" s="63" t="s">
        <v>93</v>
      </c>
      <c r="C6" s="187"/>
      <c r="D6" s="187"/>
      <c r="E6" s="187"/>
      <c r="F6" s="61"/>
      <c r="G6" s="61"/>
    </row>
    <row r="7" spans="1:7" ht="12.75">
      <c r="A7" s="62" t="s">
        <v>26</v>
      </c>
      <c r="B7" s="67">
        <v>0.18</v>
      </c>
      <c r="C7" s="187"/>
      <c r="D7" s="187"/>
      <c r="E7" s="187"/>
      <c r="F7" s="61"/>
      <c r="G7" s="61"/>
    </row>
    <row r="10" spans="1:9" ht="12.75">
      <c r="A10" s="68" t="s">
        <v>31</v>
      </c>
      <c r="B10" s="68" t="s">
        <v>32</v>
      </c>
      <c r="C10" s="68" t="s">
        <v>33</v>
      </c>
      <c r="D10" s="68" t="s">
        <v>34</v>
      </c>
      <c r="E10" s="68" t="s">
        <v>35</v>
      </c>
      <c r="F10" s="68" t="s">
        <v>26</v>
      </c>
      <c r="G10" s="68" t="s">
        <v>3</v>
      </c>
      <c r="H10" s="68" t="s">
        <v>97</v>
      </c>
      <c r="I10" s="68" t="s">
        <v>37</v>
      </c>
    </row>
    <row r="11" spans="1:9" ht="12.75">
      <c r="A11" s="69">
        <v>39989</v>
      </c>
      <c r="B11" s="70">
        <v>2542372.88</v>
      </c>
      <c r="C11" s="70">
        <v>508474.58</v>
      </c>
      <c r="D11" s="70">
        <v>0</v>
      </c>
      <c r="E11" s="70">
        <f>E4</f>
        <v>9000</v>
      </c>
      <c r="F11" s="70">
        <v>457627.12</v>
      </c>
      <c r="G11" s="70">
        <v>966101.7</v>
      </c>
      <c r="H11" s="71"/>
      <c r="I11" s="71"/>
    </row>
    <row r="12" spans="1:9" ht="12.75">
      <c r="A12" s="72">
        <v>40019</v>
      </c>
      <c r="B12" s="70">
        <v>2033898.3</v>
      </c>
      <c r="C12" s="70">
        <v>22084.09</v>
      </c>
      <c r="D12" s="70">
        <v>9506.78</v>
      </c>
      <c r="E12" s="70">
        <v>0</v>
      </c>
      <c r="F12" s="70">
        <v>0</v>
      </c>
      <c r="G12" s="70">
        <v>31590.87</v>
      </c>
      <c r="H12" s="71"/>
      <c r="I12" s="71"/>
    </row>
    <row r="13" spans="1:9" ht="12.75">
      <c r="A13" s="72">
        <v>40050</v>
      </c>
      <c r="B13" s="70">
        <v>2011814.21</v>
      </c>
      <c r="C13" s="70">
        <v>22187.31</v>
      </c>
      <c r="D13" s="70">
        <v>9403.55</v>
      </c>
      <c r="E13" s="70">
        <v>0</v>
      </c>
      <c r="F13" s="70">
        <v>0</v>
      </c>
      <c r="G13" s="70">
        <v>31590.87</v>
      </c>
      <c r="H13" s="71"/>
      <c r="I13" s="71"/>
    </row>
    <row r="14" spans="1:9" ht="12.75">
      <c r="A14" s="72">
        <v>40081</v>
      </c>
      <c r="B14" s="70">
        <v>1989626.9</v>
      </c>
      <c r="C14" s="70">
        <v>22291.02</v>
      </c>
      <c r="D14" s="70">
        <v>9299.85</v>
      </c>
      <c r="E14" s="70">
        <v>0</v>
      </c>
      <c r="F14" s="70">
        <v>0</v>
      </c>
      <c r="G14" s="70">
        <v>31590.87</v>
      </c>
      <c r="H14" s="71"/>
      <c r="I14" s="71"/>
    </row>
    <row r="15" spans="1:9" ht="12.75">
      <c r="A15" s="72">
        <v>40111</v>
      </c>
      <c r="B15" s="70">
        <v>1967335.88</v>
      </c>
      <c r="C15" s="70">
        <v>22395.21</v>
      </c>
      <c r="D15" s="70">
        <v>9195.66</v>
      </c>
      <c r="E15" s="70">
        <v>0</v>
      </c>
      <c r="F15" s="70">
        <v>0</v>
      </c>
      <c r="G15" s="70">
        <v>31590.87</v>
      </c>
      <c r="H15" s="71"/>
      <c r="I15" s="71"/>
    </row>
    <row r="16" spans="1:9" ht="12.75">
      <c r="A16" s="72">
        <v>40142</v>
      </c>
      <c r="B16" s="70">
        <v>1944940.66</v>
      </c>
      <c r="C16" s="70">
        <v>22499.89</v>
      </c>
      <c r="D16" s="70">
        <v>9090.98</v>
      </c>
      <c r="E16" s="70">
        <v>0</v>
      </c>
      <c r="F16" s="70">
        <v>0</v>
      </c>
      <c r="G16" s="70">
        <v>31590.87</v>
      </c>
      <c r="H16" s="61"/>
      <c r="I16" s="61"/>
    </row>
    <row r="17" spans="1:9" ht="12.75">
      <c r="A17" s="72">
        <v>40172</v>
      </c>
      <c r="B17" s="70">
        <v>1922440.77</v>
      </c>
      <c r="C17" s="70">
        <v>22605.06</v>
      </c>
      <c r="D17" s="70">
        <v>8985.81</v>
      </c>
      <c r="E17" s="70">
        <v>0</v>
      </c>
      <c r="F17" s="70">
        <v>0</v>
      </c>
      <c r="G17" s="70">
        <v>31590.87</v>
      </c>
      <c r="H17" s="71">
        <f>SUM(C11:C17)</f>
        <v>642537.1600000001</v>
      </c>
      <c r="I17" s="71">
        <f>SUM(D11:D17)</f>
        <v>55482.62999999999</v>
      </c>
    </row>
    <row r="18" spans="1:9" ht="12.75">
      <c r="A18" s="72">
        <v>40203</v>
      </c>
      <c r="B18" s="70">
        <v>1899835.71</v>
      </c>
      <c r="C18" s="70">
        <v>22710.72</v>
      </c>
      <c r="D18" s="70">
        <v>8880.15</v>
      </c>
      <c r="E18" s="70">
        <v>0</v>
      </c>
      <c r="F18" s="70">
        <v>0</v>
      </c>
      <c r="G18" s="70">
        <v>31590.87</v>
      </c>
      <c r="H18" s="71"/>
      <c r="I18" s="71"/>
    </row>
    <row r="19" spans="1:9" ht="12.75">
      <c r="A19" s="72">
        <v>40234</v>
      </c>
      <c r="B19" s="70">
        <v>1877124.99</v>
      </c>
      <c r="C19" s="70">
        <v>22816.87</v>
      </c>
      <c r="D19" s="70">
        <v>8774</v>
      </c>
      <c r="E19" s="70">
        <v>0</v>
      </c>
      <c r="F19" s="70">
        <v>0</v>
      </c>
      <c r="G19" s="70">
        <v>31590.87</v>
      </c>
      <c r="H19" s="71"/>
      <c r="I19" s="71"/>
    </row>
    <row r="20" spans="1:9" ht="12.75">
      <c r="A20" s="72">
        <v>40262</v>
      </c>
      <c r="B20" s="70">
        <v>1854308.12</v>
      </c>
      <c r="C20" s="70">
        <v>22923.52</v>
      </c>
      <c r="D20" s="70">
        <v>8667.35</v>
      </c>
      <c r="E20" s="70">
        <v>0</v>
      </c>
      <c r="F20" s="70">
        <v>0</v>
      </c>
      <c r="G20" s="70">
        <v>31590.87</v>
      </c>
      <c r="H20" s="71"/>
      <c r="I20" s="71"/>
    </row>
    <row r="21" spans="1:9" ht="12.75">
      <c r="A21" s="72">
        <v>40293</v>
      </c>
      <c r="B21" s="70">
        <v>1831384.6</v>
      </c>
      <c r="C21" s="70">
        <v>23030.67</v>
      </c>
      <c r="D21" s="70">
        <v>8560.2</v>
      </c>
      <c r="E21" s="70">
        <v>0</v>
      </c>
      <c r="F21" s="70">
        <v>0</v>
      </c>
      <c r="G21" s="70">
        <v>31590.87</v>
      </c>
      <c r="H21" s="71"/>
      <c r="I21" s="71"/>
    </row>
    <row r="22" spans="1:9" ht="12.75">
      <c r="A22" s="72">
        <v>40323</v>
      </c>
      <c r="B22" s="70">
        <v>1808353.93</v>
      </c>
      <c r="C22" s="70">
        <v>23138.32</v>
      </c>
      <c r="D22" s="70">
        <v>8452.55</v>
      </c>
      <c r="E22" s="70">
        <v>0</v>
      </c>
      <c r="F22" s="70">
        <v>0</v>
      </c>
      <c r="G22" s="70">
        <v>31590.87</v>
      </c>
      <c r="H22" s="71"/>
      <c r="I22" s="71"/>
    </row>
    <row r="23" spans="1:9" ht="12.75">
      <c r="A23" s="72">
        <v>40354</v>
      </c>
      <c r="B23" s="70">
        <v>1785215.6</v>
      </c>
      <c r="C23" s="70">
        <v>23246.47</v>
      </c>
      <c r="D23" s="70">
        <v>8344.4</v>
      </c>
      <c r="E23" s="70">
        <v>0</v>
      </c>
      <c r="F23" s="70">
        <v>0</v>
      </c>
      <c r="G23" s="70">
        <v>31590.87</v>
      </c>
      <c r="H23" s="71"/>
      <c r="I23" s="71"/>
    </row>
    <row r="24" spans="1:9" ht="12.75">
      <c r="A24" s="72">
        <v>40384</v>
      </c>
      <c r="B24" s="70">
        <v>1761969.13</v>
      </c>
      <c r="C24" s="70">
        <v>23355.13</v>
      </c>
      <c r="D24" s="70">
        <v>8235.74</v>
      </c>
      <c r="E24" s="70">
        <v>0</v>
      </c>
      <c r="F24" s="70">
        <v>0</v>
      </c>
      <c r="G24" s="70">
        <v>31590.87</v>
      </c>
      <c r="H24" s="71"/>
      <c r="I24" s="71"/>
    </row>
    <row r="25" spans="1:9" ht="12.75">
      <c r="A25" s="72">
        <v>40415</v>
      </c>
      <c r="B25" s="70">
        <v>1738614</v>
      </c>
      <c r="C25" s="70">
        <v>23464.3</v>
      </c>
      <c r="D25" s="70">
        <v>8126.57</v>
      </c>
      <c r="E25" s="70">
        <v>0</v>
      </c>
      <c r="F25" s="70">
        <v>0</v>
      </c>
      <c r="G25" s="70">
        <v>31590.87</v>
      </c>
      <c r="H25" s="71"/>
      <c r="I25" s="71"/>
    </row>
    <row r="26" spans="1:9" ht="12.75">
      <c r="A26" s="72">
        <v>40446</v>
      </c>
      <c r="B26" s="70">
        <v>1715149.7</v>
      </c>
      <c r="C26" s="70">
        <v>23573.97</v>
      </c>
      <c r="D26" s="70">
        <v>8016.9</v>
      </c>
      <c r="E26" s="70">
        <v>0</v>
      </c>
      <c r="F26" s="70">
        <v>0</v>
      </c>
      <c r="G26" s="70">
        <v>31590.87</v>
      </c>
      <c r="H26" s="71"/>
      <c r="I26" s="71"/>
    </row>
    <row r="27" spans="1:9" ht="12.75">
      <c r="A27" s="72">
        <v>40476</v>
      </c>
      <c r="B27" s="70">
        <v>1691575.73</v>
      </c>
      <c r="C27" s="70">
        <v>23684.16</v>
      </c>
      <c r="D27" s="70">
        <v>7906.71</v>
      </c>
      <c r="E27" s="70">
        <v>0</v>
      </c>
      <c r="F27" s="70">
        <v>0</v>
      </c>
      <c r="G27" s="70">
        <v>31590.87</v>
      </c>
      <c r="H27" s="71"/>
      <c r="I27" s="71"/>
    </row>
    <row r="28" spans="1:9" ht="12.75">
      <c r="A28" s="72">
        <v>40507</v>
      </c>
      <c r="B28" s="70">
        <v>1667891.57</v>
      </c>
      <c r="C28" s="70">
        <v>23794.87</v>
      </c>
      <c r="D28" s="70">
        <v>7796</v>
      </c>
      <c r="E28" s="70">
        <v>0</v>
      </c>
      <c r="F28" s="70">
        <v>0</v>
      </c>
      <c r="G28" s="70">
        <v>31590.87</v>
      </c>
      <c r="H28" s="61"/>
      <c r="I28" s="61"/>
    </row>
    <row r="29" spans="1:9" ht="12.75">
      <c r="A29" s="72">
        <v>40537</v>
      </c>
      <c r="B29" s="70">
        <v>1644096.7</v>
      </c>
      <c r="C29" s="70">
        <v>23906.09</v>
      </c>
      <c r="D29" s="70">
        <v>7684.78</v>
      </c>
      <c r="E29" s="70">
        <v>0</v>
      </c>
      <c r="F29" s="70">
        <v>0</v>
      </c>
      <c r="G29" s="70">
        <v>31590.87</v>
      </c>
      <c r="H29" s="71">
        <f>SUM(C18:C29)</f>
        <v>279645.09</v>
      </c>
      <c r="I29" s="71">
        <f>SUM(D18:D29)</f>
        <v>99445.34999999999</v>
      </c>
    </row>
    <row r="30" spans="1:9" ht="12.75">
      <c r="A30" s="72">
        <v>40568</v>
      </c>
      <c r="B30" s="70">
        <v>1620190.62</v>
      </c>
      <c r="C30" s="70">
        <v>24017.83</v>
      </c>
      <c r="D30" s="70">
        <v>7573.04</v>
      </c>
      <c r="E30" s="70">
        <v>0</v>
      </c>
      <c r="F30" s="70">
        <v>0</v>
      </c>
      <c r="G30" s="70">
        <v>31590.87</v>
      </c>
      <c r="H30" s="71"/>
      <c r="I30" s="71"/>
    </row>
    <row r="31" spans="1:9" ht="12.75">
      <c r="A31" s="72">
        <v>40599</v>
      </c>
      <c r="B31" s="70">
        <v>1596172.79</v>
      </c>
      <c r="C31" s="70">
        <v>24130.09</v>
      </c>
      <c r="D31" s="70">
        <v>7460.78</v>
      </c>
      <c r="E31" s="70">
        <v>0</v>
      </c>
      <c r="F31" s="70">
        <v>0</v>
      </c>
      <c r="G31" s="70">
        <v>31590.87</v>
      </c>
      <c r="H31" s="71"/>
      <c r="I31" s="71"/>
    </row>
    <row r="32" spans="1:9" ht="12.75">
      <c r="A32" s="72">
        <v>40627</v>
      </c>
      <c r="B32" s="70">
        <v>1572042.7</v>
      </c>
      <c r="C32" s="70">
        <v>24242.88</v>
      </c>
      <c r="D32" s="70">
        <v>7347.99</v>
      </c>
      <c r="E32" s="70">
        <v>0</v>
      </c>
      <c r="F32" s="70">
        <v>0</v>
      </c>
      <c r="G32" s="70">
        <v>31590.87</v>
      </c>
      <c r="H32" s="71"/>
      <c r="I32" s="71"/>
    </row>
    <row r="33" spans="1:9" ht="12.75">
      <c r="A33" s="72">
        <v>40658</v>
      </c>
      <c r="B33" s="70">
        <v>1547799.82</v>
      </c>
      <c r="C33" s="70">
        <v>24356.19</v>
      </c>
      <c r="D33" s="70">
        <v>7234.67</v>
      </c>
      <c r="E33" s="70">
        <v>0</v>
      </c>
      <c r="F33" s="70">
        <v>0</v>
      </c>
      <c r="G33" s="70">
        <v>31590.87</v>
      </c>
      <c r="H33" s="71"/>
      <c r="I33" s="71"/>
    </row>
    <row r="34" spans="1:9" ht="12.75">
      <c r="A34" s="72">
        <v>40688</v>
      </c>
      <c r="B34" s="70">
        <v>1523443.63</v>
      </c>
      <c r="C34" s="70">
        <v>24470.04</v>
      </c>
      <c r="D34" s="70">
        <v>7120.83</v>
      </c>
      <c r="E34" s="70">
        <v>0</v>
      </c>
      <c r="F34" s="70">
        <v>0</v>
      </c>
      <c r="G34" s="70">
        <v>31590.87</v>
      </c>
      <c r="H34" s="71"/>
      <c r="I34" s="71"/>
    </row>
    <row r="35" spans="1:9" ht="12.75">
      <c r="A35" s="72">
        <v>40719</v>
      </c>
      <c r="B35" s="70">
        <v>1498973.59</v>
      </c>
      <c r="C35" s="70">
        <v>24584.42</v>
      </c>
      <c r="D35" s="70">
        <v>7006.45</v>
      </c>
      <c r="E35" s="70">
        <v>0</v>
      </c>
      <c r="F35" s="70">
        <v>0</v>
      </c>
      <c r="G35" s="70">
        <v>31590.87</v>
      </c>
      <c r="H35" s="71"/>
      <c r="I35" s="71"/>
    </row>
    <row r="36" spans="1:9" ht="12.75">
      <c r="A36" s="72">
        <v>40749</v>
      </c>
      <c r="B36" s="70">
        <v>1474389.17</v>
      </c>
      <c r="C36" s="70">
        <v>24699.33</v>
      </c>
      <c r="D36" s="70">
        <v>6891.54</v>
      </c>
      <c r="E36" s="70">
        <v>0</v>
      </c>
      <c r="F36" s="70">
        <v>0</v>
      </c>
      <c r="G36" s="70">
        <v>31590.87</v>
      </c>
      <c r="H36" s="71"/>
      <c r="I36" s="71"/>
    </row>
    <row r="37" spans="1:9" ht="12.75">
      <c r="A37" s="72">
        <v>40780</v>
      </c>
      <c r="B37" s="70">
        <v>1449689.84</v>
      </c>
      <c r="C37" s="70">
        <v>24814.78</v>
      </c>
      <c r="D37" s="70">
        <v>6776.09</v>
      </c>
      <c r="E37" s="70">
        <v>0</v>
      </c>
      <c r="F37" s="70">
        <v>0</v>
      </c>
      <c r="G37" s="70">
        <v>31590.87</v>
      </c>
      <c r="H37" s="71"/>
      <c r="I37" s="71"/>
    </row>
    <row r="38" spans="1:9" ht="12.75">
      <c r="A38" s="72">
        <v>40811</v>
      </c>
      <c r="B38" s="70">
        <v>1424875.07</v>
      </c>
      <c r="C38" s="70">
        <v>24930.76</v>
      </c>
      <c r="D38" s="70">
        <v>6660.1</v>
      </c>
      <c r="E38" s="70">
        <v>0</v>
      </c>
      <c r="F38" s="70">
        <v>0</v>
      </c>
      <c r="G38" s="70">
        <v>31590.87</v>
      </c>
      <c r="H38" s="71"/>
      <c r="I38" s="71"/>
    </row>
    <row r="39" spans="1:9" ht="12.75">
      <c r="A39" s="72">
        <v>40841</v>
      </c>
      <c r="B39" s="70">
        <v>1399944.3</v>
      </c>
      <c r="C39" s="70">
        <v>25047.3</v>
      </c>
      <c r="D39" s="70">
        <v>6543.57</v>
      </c>
      <c r="E39" s="70">
        <v>0</v>
      </c>
      <c r="F39" s="70">
        <v>0</v>
      </c>
      <c r="G39" s="70">
        <v>31590.87</v>
      </c>
      <c r="H39" s="71"/>
      <c r="I39" s="71"/>
    </row>
    <row r="40" spans="1:9" ht="12.75">
      <c r="A40" s="72">
        <v>40872</v>
      </c>
      <c r="B40" s="70">
        <v>1374897.01</v>
      </c>
      <c r="C40" s="70">
        <v>25164.37</v>
      </c>
      <c r="D40" s="70">
        <v>6426.5</v>
      </c>
      <c r="E40" s="70">
        <v>0</v>
      </c>
      <c r="F40" s="70">
        <v>0</v>
      </c>
      <c r="G40" s="70">
        <v>31590.87</v>
      </c>
      <c r="H40" s="61"/>
      <c r="I40" s="61"/>
    </row>
    <row r="41" spans="1:9" ht="12.75">
      <c r="A41" s="72">
        <v>40902</v>
      </c>
      <c r="B41" s="70">
        <v>1349732.64</v>
      </c>
      <c r="C41" s="70">
        <v>25281.99</v>
      </c>
      <c r="D41" s="70">
        <v>6308.88</v>
      </c>
      <c r="E41" s="70">
        <v>0</v>
      </c>
      <c r="F41" s="70">
        <v>0</v>
      </c>
      <c r="G41" s="70">
        <v>31590.87</v>
      </c>
      <c r="H41" s="71">
        <f>SUM(C30:C41)</f>
        <v>295739.98000000004</v>
      </c>
      <c r="I41" s="71">
        <f>SUM(D30:D41)</f>
        <v>83350.44</v>
      </c>
    </row>
    <row r="42" spans="1:9" ht="12.75">
      <c r="A42" s="72">
        <v>40933</v>
      </c>
      <c r="B42" s="70">
        <v>1324450.64</v>
      </c>
      <c r="C42" s="70">
        <v>25400.17</v>
      </c>
      <c r="D42" s="70">
        <v>6190.7</v>
      </c>
      <c r="E42" s="70">
        <v>0</v>
      </c>
      <c r="F42" s="70">
        <v>0</v>
      </c>
      <c r="G42" s="70">
        <v>31590.87</v>
      </c>
      <c r="H42" s="71"/>
      <c r="I42" s="71"/>
    </row>
    <row r="43" spans="1:9" ht="12.75">
      <c r="A43" s="72">
        <v>40964</v>
      </c>
      <c r="B43" s="70">
        <v>1299050.48</v>
      </c>
      <c r="C43" s="70">
        <v>25518.89</v>
      </c>
      <c r="D43" s="70">
        <v>6071.98</v>
      </c>
      <c r="E43" s="70">
        <v>0</v>
      </c>
      <c r="F43" s="70">
        <v>0</v>
      </c>
      <c r="G43" s="70">
        <v>31590.87</v>
      </c>
      <c r="H43" s="71"/>
      <c r="I43" s="71"/>
    </row>
    <row r="44" spans="1:9" ht="12.75">
      <c r="A44" s="72">
        <v>40993</v>
      </c>
      <c r="B44" s="70">
        <v>1273531.59</v>
      </c>
      <c r="C44" s="70">
        <v>25638.17</v>
      </c>
      <c r="D44" s="70">
        <v>5952.7</v>
      </c>
      <c r="E44" s="70">
        <v>0</v>
      </c>
      <c r="F44" s="70">
        <v>0</v>
      </c>
      <c r="G44" s="70">
        <v>31590.87</v>
      </c>
      <c r="H44" s="71"/>
      <c r="I44" s="71"/>
    </row>
    <row r="45" spans="1:9" ht="12.75">
      <c r="A45" s="72">
        <v>41024</v>
      </c>
      <c r="B45" s="70">
        <v>1247893.42</v>
      </c>
      <c r="C45" s="70">
        <v>25758.01</v>
      </c>
      <c r="D45" s="70">
        <v>5832.86</v>
      </c>
      <c r="E45" s="70">
        <v>0</v>
      </c>
      <c r="F45" s="70">
        <v>0</v>
      </c>
      <c r="G45" s="70">
        <v>31590.87</v>
      </c>
      <c r="H45" s="71"/>
      <c r="I45" s="71"/>
    </row>
    <row r="46" spans="1:9" ht="12.75">
      <c r="A46" s="72">
        <v>41054</v>
      </c>
      <c r="B46" s="70">
        <v>1222135.41</v>
      </c>
      <c r="C46" s="70">
        <v>25878.4</v>
      </c>
      <c r="D46" s="70">
        <v>5712.46</v>
      </c>
      <c r="E46" s="70">
        <v>0</v>
      </c>
      <c r="F46" s="70">
        <v>0</v>
      </c>
      <c r="G46" s="70">
        <v>31590.87</v>
      </c>
      <c r="H46" s="71"/>
      <c r="I46" s="71"/>
    </row>
    <row r="47" spans="1:9" ht="12.75">
      <c r="A47" s="72">
        <v>41085</v>
      </c>
      <c r="B47" s="70">
        <v>1196257.01</v>
      </c>
      <c r="C47" s="70">
        <v>25999.36</v>
      </c>
      <c r="D47" s="70">
        <v>5591.5</v>
      </c>
      <c r="E47" s="70">
        <v>0</v>
      </c>
      <c r="F47" s="70">
        <v>0</v>
      </c>
      <c r="G47" s="70">
        <v>31590.87</v>
      </c>
      <c r="H47" s="71"/>
      <c r="I47" s="71"/>
    </row>
    <row r="48" spans="1:9" ht="12.75">
      <c r="A48" s="72">
        <v>41115</v>
      </c>
      <c r="B48" s="70">
        <v>1170257.64</v>
      </c>
      <c r="C48" s="70">
        <v>26120.89</v>
      </c>
      <c r="D48" s="70">
        <v>5469.98</v>
      </c>
      <c r="E48" s="70">
        <v>0</v>
      </c>
      <c r="F48" s="70">
        <v>0</v>
      </c>
      <c r="G48" s="70">
        <v>31590.87</v>
      </c>
      <c r="H48" s="71"/>
      <c r="I48" s="71"/>
    </row>
    <row r="49" spans="1:9" ht="12.75">
      <c r="A49" s="72">
        <v>41146</v>
      </c>
      <c r="B49" s="70">
        <v>1144136.75</v>
      </c>
      <c r="C49" s="70">
        <v>26242.98</v>
      </c>
      <c r="D49" s="70">
        <v>5347.89</v>
      </c>
      <c r="E49" s="70">
        <v>0</v>
      </c>
      <c r="F49" s="70">
        <v>0</v>
      </c>
      <c r="G49" s="70">
        <v>31590.87</v>
      </c>
      <c r="H49" s="71"/>
      <c r="I49" s="71"/>
    </row>
    <row r="50" spans="1:9" ht="12.75">
      <c r="A50" s="72">
        <v>41177</v>
      </c>
      <c r="B50" s="70">
        <v>1117893.77</v>
      </c>
      <c r="C50" s="70">
        <v>26365.65</v>
      </c>
      <c r="D50" s="70">
        <v>5225.22</v>
      </c>
      <c r="E50" s="70">
        <v>0</v>
      </c>
      <c r="F50" s="70">
        <v>0</v>
      </c>
      <c r="G50" s="70">
        <v>31590.87</v>
      </c>
      <c r="H50" s="71"/>
      <c r="I50" s="71"/>
    </row>
    <row r="51" spans="1:9" ht="12.75">
      <c r="A51" s="72">
        <v>41207</v>
      </c>
      <c r="B51" s="70">
        <v>1091528.13</v>
      </c>
      <c r="C51" s="70">
        <v>26488.88</v>
      </c>
      <c r="D51" s="70">
        <v>5101.98</v>
      </c>
      <c r="E51" s="70">
        <v>0</v>
      </c>
      <c r="F51" s="70">
        <v>0</v>
      </c>
      <c r="G51" s="70">
        <v>31590.87</v>
      </c>
      <c r="H51" s="71"/>
      <c r="I51" s="71"/>
    </row>
    <row r="52" spans="1:9" ht="12.75">
      <c r="A52" s="72">
        <v>41238</v>
      </c>
      <c r="B52" s="70">
        <v>1065039.24</v>
      </c>
      <c r="C52" s="70">
        <v>26612.7</v>
      </c>
      <c r="D52" s="70">
        <v>4978.17</v>
      </c>
      <c r="E52" s="70">
        <v>0</v>
      </c>
      <c r="F52" s="70">
        <v>0</v>
      </c>
      <c r="G52" s="70">
        <v>31590.87</v>
      </c>
      <c r="H52" s="61"/>
      <c r="I52" s="61"/>
    </row>
    <row r="53" spans="1:9" ht="12.75">
      <c r="A53" s="72">
        <v>41268</v>
      </c>
      <c r="B53" s="70">
        <v>1038426.54</v>
      </c>
      <c r="C53" s="70">
        <v>26737.09</v>
      </c>
      <c r="D53" s="70">
        <v>4853.78</v>
      </c>
      <c r="E53" s="70">
        <v>0</v>
      </c>
      <c r="F53" s="70">
        <v>0</v>
      </c>
      <c r="G53" s="70">
        <v>31590.87</v>
      </c>
      <c r="H53" s="71">
        <f>SUM(C42:C53)</f>
        <v>312761.19000000006</v>
      </c>
      <c r="I53" s="71">
        <f>SUM(D42:D53)</f>
        <v>66329.21999999999</v>
      </c>
    </row>
    <row r="54" spans="1:9" ht="12.75">
      <c r="A54" s="72">
        <v>41299</v>
      </c>
      <c r="B54" s="70">
        <v>1011689.45</v>
      </c>
      <c r="C54" s="70">
        <v>26862.06</v>
      </c>
      <c r="D54" s="70">
        <v>4728.81</v>
      </c>
      <c r="E54" s="70">
        <v>0</v>
      </c>
      <c r="F54" s="70">
        <v>0</v>
      </c>
      <c r="G54" s="70">
        <v>31590.87</v>
      </c>
      <c r="H54" s="71"/>
      <c r="I54" s="71"/>
    </row>
    <row r="55" spans="1:9" ht="12.75">
      <c r="A55" s="72">
        <v>41330</v>
      </c>
      <c r="B55" s="70">
        <v>984827.39</v>
      </c>
      <c r="C55" s="70">
        <v>26987.62</v>
      </c>
      <c r="D55" s="70">
        <v>4603.25</v>
      </c>
      <c r="E55" s="70">
        <v>0</v>
      </c>
      <c r="F55" s="70">
        <v>0</v>
      </c>
      <c r="G55" s="70">
        <v>31590.87</v>
      </c>
      <c r="H55" s="71"/>
      <c r="I55" s="71"/>
    </row>
    <row r="56" spans="1:9" ht="12.75">
      <c r="A56" s="72">
        <v>41358</v>
      </c>
      <c r="B56" s="70">
        <v>957839.77</v>
      </c>
      <c r="C56" s="70">
        <v>27113.77</v>
      </c>
      <c r="D56" s="70">
        <v>4477.1</v>
      </c>
      <c r="E56" s="70">
        <v>0</v>
      </c>
      <c r="F56" s="70">
        <v>0</v>
      </c>
      <c r="G56" s="70">
        <v>31590.87</v>
      </c>
      <c r="H56" s="71"/>
      <c r="I56" s="71"/>
    </row>
    <row r="57" spans="1:9" ht="12.75">
      <c r="A57" s="72">
        <v>41389</v>
      </c>
      <c r="B57" s="70">
        <v>930726</v>
      </c>
      <c r="C57" s="70">
        <v>27240.5</v>
      </c>
      <c r="D57" s="70">
        <v>4350.37</v>
      </c>
      <c r="E57" s="70">
        <v>0</v>
      </c>
      <c r="F57" s="70">
        <v>0</v>
      </c>
      <c r="G57" s="70">
        <v>31590.87</v>
      </c>
      <c r="H57" s="71"/>
      <c r="I57" s="71"/>
    </row>
    <row r="58" spans="1:9" ht="12.75">
      <c r="A58" s="72">
        <v>41419</v>
      </c>
      <c r="B58" s="70">
        <v>903485.5</v>
      </c>
      <c r="C58" s="70">
        <v>27367.83</v>
      </c>
      <c r="D58" s="70">
        <v>4223.04</v>
      </c>
      <c r="E58" s="70">
        <v>0</v>
      </c>
      <c r="F58" s="70">
        <v>0</v>
      </c>
      <c r="G58" s="70">
        <v>31590.87</v>
      </c>
      <c r="H58" s="71"/>
      <c r="I58" s="71"/>
    </row>
    <row r="59" spans="1:9" ht="12.75">
      <c r="A59" s="72">
        <v>41450</v>
      </c>
      <c r="B59" s="70">
        <v>876117.68</v>
      </c>
      <c r="C59" s="70">
        <v>27495.75</v>
      </c>
      <c r="D59" s="70">
        <v>4095.12</v>
      </c>
      <c r="E59" s="70">
        <v>0</v>
      </c>
      <c r="F59" s="70">
        <v>0</v>
      </c>
      <c r="G59" s="70">
        <v>31590.87</v>
      </c>
      <c r="H59" s="71"/>
      <c r="I59" s="71"/>
    </row>
    <row r="60" spans="1:9" ht="12.75">
      <c r="A60" s="72">
        <v>41480</v>
      </c>
      <c r="B60" s="70">
        <v>848621.93</v>
      </c>
      <c r="C60" s="70">
        <v>27624.27</v>
      </c>
      <c r="D60" s="70">
        <v>3966.6</v>
      </c>
      <c r="E60" s="70">
        <v>0</v>
      </c>
      <c r="F60" s="70">
        <v>0</v>
      </c>
      <c r="G60" s="70">
        <v>31590.87</v>
      </c>
      <c r="H60" s="71"/>
      <c r="I60" s="71"/>
    </row>
    <row r="61" spans="1:9" ht="12.75">
      <c r="A61" s="72">
        <v>41511</v>
      </c>
      <c r="B61" s="70">
        <v>820997.66</v>
      </c>
      <c r="C61" s="70">
        <v>27753.39</v>
      </c>
      <c r="D61" s="70">
        <v>3837.48</v>
      </c>
      <c r="E61" s="70">
        <v>0</v>
      </c>
      <c r="F61" s="70">
        <v>0</v>
      </c>
      <c r="G61" s="70">
        <v>31590.87</v>
      </c>
      <c r="H61" s="71"/>
      <c r="I61" s="71"/>
    </row>
    <row r="62" spans="1:9" ht="12.75">
      <c r="A62" s="72">
        <v>41542</v>
      </c>
      <c r="B62" s="70">
        <v>793244.27</v>
      </c>
      <c r="C62" s="70">
        <v>27883.11</v>
      </c>
      <c r="D62" s="70">
        <v>3707.76</v>
      </c>
      <c r="E62" s="70">
        <v>0</v>
      </c>
      <c r="F62" s="70">
        <v>0</v>
      </c>
      <c r="G62" s="70">
        <v>31590.87</v>
      </c>
      <c r="H62" s="71"/>
      <c r="I62" s="71"/>
    </row>
    <row r="63" spans="1:9" ht="12.75">
      <c r="A63" s="72">
        <v>41572</v>
      </c>
      <c r="B63" s="70">
        <v>765361.16</v>
      </c>
      <c r="C63" s="70">
        <v>28013.44</v>
      </c>
      <c r="D63" s="70">
        <v>3577.43</v>
      </c>
      <c r="E63" s="70">
        <v>0</v>
      </c>
      <c r="F63" s="70">
        <v>0</v>
      </c>
      <c r="G63" s="70">
        <v>31590.87</v>
      </c>
      <c r="H63" s="71"/>
      <c r="I63" s="71"/>
    </row>
    <row r="64" spans="1:9" ht="12.75">
      <c r="A64" s="72">
        <v>41603</v>
      </c>
      <c r="B64" s="70">
        <v>737347.72</v>
      </c>
      <c r="C64" s="70">
        <v>28144.38</v>
      </c>
      <c r="D64" s="70">
        <v>3446.49</v>
      </c>
      <c r="E64" s="70">
        <v>0</v>
      </c>
      <c r="F64" s="70">
        <v>0</v>
      </c>
      <c r="G64" s="70">
        <v>31590.87</v>
      </c>
      <c r="H64" s="61"/>
      <c r="I64" s="61"/>
    </row>
    <row r="65" spans="1:9" ht="12.75">
      <c r="A65" s="72">
        <v>41633</v>
      </c>
      <c r="B65" s="70">
        <v>709203.34</v>
      </c>
      <c r="C65" s="70">
        <v>28275.93</v>
      </c>
      <c r="D65" s="70">
        <v>3314.93</v>
      </c>
      <c r="E65" s="70">
        <v>0</v>
      </c>
      <c r="F65" s="70">
        <v>0</v>
      </c>
      <c r="G65" s="70">
        <v>31590.87</v>
      </c>
      <c r="H65" s="71">
        <f>SUM(C54:C65)</f>
        <v>330762.05</v>
      </c>
      <c r="I65" s="71">
        <f>SUM(D54:D65)</f>
        <v>48328.380000000005</v>
      </c>
    </row>
    <row r="66" spans="1:9" ht="12.75">
      <c r="A66" s="73" t="s">
        <v>36</v>
      </c>
      <c r="B66" s="61"/>
      <c r="C66" s="74">
        <f>SUM(C11:C65)</f>
        <v>1861445.4699999997</v>
      </c>
      <c r="D66" s="74">
        <f>SUM(D11:D65)</f>
        <v>352936.0199999999</v>
      </c>
      <c r="E66" s="71">
        <f>SUM(E11:E65)</f>
        <v>9000</v>
      </c>
      <c r="F66" s="71">
        <f>SUM(F11:F65)</f>
        <v>457627.12</v>
      </c>
      <c r="G66" s="71">
        <f>SUM(G11:G65)</f>
        <v>2672008.6800000058</v>
      </c>
      <c r="H66" s="74">
        <f>SUM(H17:H65)</f>
        <v>1861445.4700000004</v>
      </c>
      <c r="I66" s="74">
        <f>SUM(I17:I65)</f>
        <v>352936.01999999996</v>
      </c>
    </row>
    <row r="67" spans="1:9" ht="12.75">
      <c r="A67" s="72">
        <v>41664</v>
      </c>
      <c r="B67" s="75">
        <v>680927.4</v>
      </c>
      <c r="C67" s="70">
        <v>28408.1</v>
      </c>
      <c r="D67" s="70">
        <v>3182.77</v>
      </c>
      <c r="E67" s="70">
        <v>0</v>
      </c>
      <c r="F67" s="70">
        <v>0</v>
      </c>
      <c r="G67" s="70">
        <v>31590.87</v>
      </c>
      <c r="H67" s="71"/>
      <c r="I67" s="71"/>
    </row>
    <row r="68" spans="1:9" ht="12.75">
      <c r="A68" s="72">
        <v>41695</v>
      </c>
      <c r="B68" s="70">
        <v>652519.3</v>
      </c>
      <c r="C68" s="70">
        <v>28540.88</v>
      </c>
      <c r="D68" s="70">
        <v>3049.98</v>
      </c>
      <c r="E68" s="70">
        <v>0</v>
      </c>
      <c r="F68" s="70">
        <v>0</v>
      </c>
      <c r="G68" s="70">
        <v>31590.87</v>
      </c>
      <c r="H68" s="71"/>
      <c r="I68" s="71"/>
    </row>
    <row r="69" spans="1:9" ht="12.75">
      <c r="A69" s="72">
        <v>41723</v>
      </c>
      <c r="B69" s="70">
        <v>623978.42</v>
      </c>
      <c r="C69" s="70">
        <v>28674.29</v>
      </c>
      <c r="D69" s="70">
        <v>2916.58</v>
      </c>
      <c r="E69" s="70">
        <v>0</v>
      </c>
      <c r="F69" s="70">
        <v>0</v>
      </c>
      <c r="G69" s="70">
        <v>31590.87</v>
      </c>
      <c r="H69" s="71"/>
      <c r="I69" s="71"/>
    </row>
    <row r="70" spans="1:9" ht="12.75">
      <c r="A70" s="72">
        <v>41754</v>
      </c>
      <c r="B70" s="70">
        <v>595304.13</v>
      </c>
      <c r="C70" s="70">
        <v>28808.32</v>
      </c>
      <c r="D70" s="70">
        <v>2782.55</v>
      </c>
      <c r="E70" s="70">
        <v>0</v>
      </c>
      <c r="F70" s="70">
        <v>0</v>
      </c>
      <c r="G70" s="70">
        <v>31590.87</v>
      </c>
      <c r="H70" s="71"/>
      <c r="I70" s="71"/>
    </row>
    <row r="71" spans="1:9" ht="12.75">
      <c r="A71" s="72">
        <v>41784</v>
      </c>
      <c r="B71" s="70">
        <v>566495.81</v>
      </c>
      <c r="C71" s="70">
        <v>28942.97</v>
      </c>
      <c r="D71" s="70">
        <v>2647.9</v>
      </c>
      <c r="E71" s="70">
        <v>0</v>
      </c>
      <c r="F71" s="70">
        <v>0</v>
      </c>
      <c r="G71" s="70">
        <v>31590.87</v>
      </c>
      <c r="H71" s="71"/>
      <c r="I71" s="71"/>
    </row>
    <row r="72" spans="1:9" ht="12.75">
      <c r="A72" s="72">
        <v>41815</v>
      </c>
      <c r="B72" s="70">
        <v>537552.84</v>
      </c>
      <c r="C72" s="70">
        <v>537552.84</v>
      </c>
      <c r="D72" s="70">
        <v>2512.61</v>
      </c>
      <c r="E72" s="70">
        <v>0</v>
      </c>
      <c r="F72" s="70">
        <v>0</v>
      </c>
      <c r="G72" s="70">
        <v>540065.45</v>
      </c>
      <c r="H72" s="71"/>
      <c r="I72" s="71"/>
    </row>
    <row r="73" spans="1:9" ht="12.75">
      <c r="A73" s="73" t="s">
        <v>36</v>
      </c>
      <c r="B73" s="70"/>
      <c r="C73" s="70">
        <v>2542372.88</v>
      </c>
      <c r="D73" s="70">
        <v>370028.39</v>
      </c>
      <c r="E73" s="71">
        <v>9000</v>
      </c>
      <c r="F73" s="70">
        <v>457627.12</v>
      </c>
      <c r="G73" s="70">
        <v>3370028.38</v>
      </c>
      <c r="H73" s="71"/>
      <c r="I73" s="71"/>
    </row>
    <row r="74" spans="1:9" ht="12.75">
      <c r="A74" s="61"/>
      <c r="B74" s="76">
        <f>B72/B11</f>
        <v>0.21143745051276663</v>
      </c>
      <c r="C74" s="71"/>
      <c r="D74" s="71"/>
      <c r="E74" s="71"/>
      <c r="F74" s="71"/>
      <c r="G74" s="71"/>
      <c r="H74" s="61"/>
      <c r="I74" s="61"/>
    </row>
    <row r="75" spans="1:9" ht="12.75">
      <c r="A75" s="61"/>
      <c r="B75" s="77"/>
      <c r="C75" s="77"/>
      <c r="D75" s="77"/>
      <c r="E75" s="77"/>
      <c r="F75" s="77"/>
      <c r="G75" s="77"/>
      <c r="H75" s="61"/>
      <c r="I75" s="61"/>
    </row>
  </sheetData>
  <mergeCells count="3">
    <mergeCell ref="C2:C7"/>
    <mergeCell ref="D6:E6"/>
    <mergeCell ref="D7:E7"/>
  </mergeCells>
  <printOptions/>
  <pageMargins left="0.5905511811023623" right="0.35433070866141736" top="0.49" bottom="0.43" header="0.31" footer="0.23"/>
  <pageSetup horizontalDpi="600" verticalDpi="600" orientation="portrait" paperSize="9" scale="75" r:id="rId2"/>
  <headerFooter alignWithMargins="0"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="80" zoomScaleNormal="80" workbookViewId="0" topLeftCell="A2">
      <selection activeCell="M13" sqref="M13"/>
    </sheetView>
  </sheetViews>
  <sheetFormatPr defaultColWidth="9.140625" defaultRowHeight="12.75"/>
  <cols>
    <col min="1" max="1" width="16.7109375" style="0" customWidth="1"/>
    <col min="2" max="2" width="13.00390625" style="0" customWidth="1"/>
    <col min="3" max="3" width="10.421875" style="0" customWidth="1"/>
    <col min="4" max="4" width="14.28125" style="0" customWidth="1"/>
    <col min="5" max="5" width="13.140625" style="0" customWidth="1"/>
    <col min="6" max="6" width="10.7109375" style="0" customWidth="1"/>
    <col min="7" max="7" width="11.140625" style="0" customWidth="1"/>
    <col min="8" max="8" width="10.28125" style="0" customWidth="1"/>
    <col min="9" max="9" width="9.28125" style="0" bestFit="1" customWidth="1"/>
  </cols>
  <sheetData>
    <row r="1" spans="1:6" ht="15.75">
      <c r="A1" s="60" t="s">
        <v>94</v>
      </c>
      <c r="B1" s="61"/>
      <c r="C1" s="61"/>
      <c r="D1" s="61"/>
      <c r="E1" s="61"/>
      <c r="F1" s="61"/>
    </row>
    <row r="2" spans="1:6" ht="25.5">
      <c r="A2" s="62" t="s">
        <v>17</v>
      </c>
      <c r="B2" s="63"/>
      <c r="C2" s="187"/>
      <c r="D2" s="62" t="s">
        <v>27</v>
      </c>
      <c r="E2" s="63" t="s">
        <v>28</v>
      </c>
      <c r="F2" s="61"/>
    </row>
    <row r="3" spans="1:6" ht="12.75">
      <c r="A3" s="62" t="s">
        <v>18</v>
      </c>
      <c r="B3" s="64" t="s">
        <v>19</v>
      </c>
      <c r="C3" s="187"/>
      <c r="D3" s="62" t="s">
        <v>29</v>
      </c>
      <c r="E3" s="63" t="s">
        <v>83</v>
      </c>
      <c r="F3" s="61"/>
    </row>
    <row r="4" spans="1:6" ht="39" customHeight="1">
      <c r="A4" s="62" t="s">
        <v>20</v>
      </c>
      <c r="B4" s="63" t="s">
        <v>87</v>
      </c>
      <c r="C4" s="187"/>
      <c r="D4" s="62" t="s">
        <v>30</v>
      </c>
      <c r="E4" s="63">
        <f>1400000*0.3%</f>
        <v>4200</v>
      </c>
      <c r="F4" s="61"/>
    </row>
    <row r="5" spans="1:6" ht="39" customHeight="1">
      <c r="A5" s="62" t="s">
        <v>22</v>
      </c>
      <c r="B5" s="63" t="s">
        <v>88</v>
      </c>
      <c r="C5" s="187"/>
      <c r="D5" s="187" t="s">
        <v>90</v>
      </c>
      <c r="E5" s="187"/>
      <c r="F5" s="61">
        <v>84000</v>
      </c>
    </row>
    <row r="6" spans="1:6" ht="27.75" customHeight="1">
      <c r="A6" s="62" t="s">
        <v>24</v>
      </c>
      <c r="B6" s="63" t="s">
        <v>89</v>
      </c>
      <c r="C6" s="187"/>
      <c r="D6" s="187" t="s">
        <v>91</v>
      </c>
      <c r="E6" s="187"/>
      <c r="F6" s="61"/>
    </row>
    <row r="7" spans="1:6" ht="12.75">
      <c r="A7" s="62" t="s">
        <v>26</v>
      </c>
      <c r="B7" s="67">
        <v>0.18</v>
      </c>
      <c r="C7" s="187"/>
      <c r="D7" s="187"/>
      <c r="E7" s="187"/>
      <c r="F7" s="61"/>
    </row>
    <row r="10" spans="1:9" ht="12.75">
      <c r="A10" s="68" t="s">
        <v>31</v>
      </c>
      <c r="B10" s="68" t="s">
        <v>32</v>
      </c>
      <c r="C10" s="68" t="s">
        <v>33</v>
      </c>
      <c r="D10" s="68" t="s">
        <v>34</v>
      </c>
      <c r="E10" s="68" t="s">
        <v>35</v>
      </c>
      <c r="F10" s="68" t="s">
        <v>26</v>
      </c>
      <c r="G10" s="68" t="s">
        <v>3</v>
      </c>
      <c r="H10" s="68" t="s">
        <v>97</v>
      </c>
      <c r="I10" s="68" t="s">
        <v>37</v>
      </c>
    </row>
    <row r="11" spans="1:9" ht="12.75">
      <c r="A11" s="69">
        <v>39989</v>
      </c>
      <c r="B11" s="70">
        <v>1186440.68</v>
      </c>
      <c r="C11" s="70">
        <v>237288.14</v>
      </c>
      <c r="D11" s="70">
        <v>0</v>
      </c>
      <c r="E11" s="70">
        <f>E4</f>
        <v>4200</v>
      </c>
      <c r="F11" s="70">
        <v>213559.32</v>
      </c>
      <c r="G11" s="70">
        <v>450847.46</v>
      </c>
      <c r="H11" s="71"/>
      <c r="I11" s="71"/>
    </row>
    <row r="12" spans="1:9" ht="12.75">
      <c r="A12" s="72">
        <v>40019</v>
      </c>
      <c r="B12" s="70">
        <v>949152.54</v>
      </c>
      <c r="C12" s="70">
        <v>13741.21</v>
      </c>
      <c r="D12" s="70">
        <v>4436.5</v>
      </c>
      <c r="E12" s="70">
        <v>0</v>
      </c>
      <c r="F12" s="70">
        <v>0</v>
      </c>
      <c r="G12" s="70">
        <v>18177.71</v>
      </c>
      <c r="H12" s="71"/>
      <c r="I12" s="71"/>
    </row>
    <row r="13" spans="1:9" ht="12.75">
      <c r="A13" s="72">
        <v>40050</v>
      </c>
      <c r="B13" s="70">
        <v>935411.33</v>
      </c>
      <c r="C13" s="70">
        <v>13805.44</v>
      </c>
      <c r="D13" s="70">
        <v>4372.27</v>
      </c>
      <c r="E13" s="70">
        <v>0</v>
      </c>
      <c r="F13" s="70">
        <v>0</v>
      </c>
      <c r="G13" s="70">
        <v>18177.71</v>
      </c>
      <c r="H13" s="71"/>
      <c r="I13" s="71"/>
    </row>
    <row r="14" spans="1:9" ht="12.75">
      <c r="A14" s="72">
        <v>40081</v>
      </c>
      <c r="B14" s="70">
        <v>921605.89</v>
      </c>
      <c r="C14" s="70">
        <v>13869.97</v>
      </c>
      <c r="D14" s="70">
        <v>4307.74</v>
      </c>
      <c r="E14" s="70">
        <v>0</v>
      </c>
      <c r="F14" s="70">
        <v>0</v>
      </c>
      <c r="G14" s="70">
        <v>18177.71</v>
      </c>
      <c r="H14" s="71"/>
      <c r="I14" s="71"/>
    </row>
    <row r="15" spans="1:9" ht="12.75">
      <c r="A15" s="72">
        <v>40111</v>
      </c>
      <c r="B15" s="70">
        <v>907735.92</v>
      </c>
      <c r="C15" s="70">
        <v>13934.8</v>
      </c>
      <c r="D15" s="70">
        <v>4242.91</v>
      </c>
      <c r="E15" s="70">
        <v>0</v>
      </c>
      <c r="F15" s="70">
        <v>0</v>
      </c>
      <c r="G15" s="70">
        <v>18177.71</v>
      </c>
      <c r="H15" s="71"/>
      <c r="I15" s="71"/>
    </row>
    <row r="16" spans="1:9" ht="12.75">
      <c r="A16" s="72">
        <v>40142</v>
      </c>
      <c r="B16" s="70">
        <v>893801.12</v>
      </c>
      <c r="C16" s="70">
        <v>13999.93</v>
      </c>
      <c r="D16" s="70">
        <v>4177.78</v>
      </c>
      <c r="E16" s="70">
        <v>0</v>
      </c>
      <c r="F16" s="70">
        <v>0</v>
      </c>
      <c r="G16" s="70">
        <v>18177.71</v>
      </c>
      <c r="H16" s="61"/>
      <c r="I16" s="61"/>
    </row>
    <row r="17" spans="1:9" ht="12.75">
      <c r="A17" s="72">
        <v>40172</v>
      </c>
      <c r="B17" s="70">
        <v>879801.19</v>
      </c>
      <c r="C17" s="70">
        <v>14065.37</v>
      </c>
      <c r="D17" s="70">
        <v>4112.34</v>
      </c>
      <c r="E17" s="70">
        <v>0</v>
      </c>
      <c r="F17" s="70">
        <v>0</v>
      </c>
      <c r="G17" s="70">
        <v>18177.71</v>
      </c>
      <c r="H17" s="71">
        <f>SUM(C11:C17)</f>
        <v>320704.8599999999</v>
      </c>
      <c r="I17" s="71">
        <f>SUM(D11:D17)</f>
        <v>25649.539999999997</v>
      </c>
    </row>
    <row r="18" spans="1:9" ht="12.75">
      <c r="A18" s="72">
        <v>40203</v>
      </c>
      <c r="B18" s="70">
        <v>865735.82</v>
      </c>
      <c r="C18" s="70">
        <v>14131.11</v>
      </c>
      <c r="D18" s="70">
        <v>4046.59</v>
      </c>
      <c r="E18" s="70">
        <v>0</v>
      </c>
      <c r="F18" s="70">
        <v>0</v>
      </c>
      <c r="G18" s="70">
        <v>18177.71</v>
      </c>
      <c r="H18" s="71"/>
      <c r="I18" s="71"/>
    </row>
    <row r="19" spans="1:9" ht="12.75">
      <c r="A19" s="72">
        <v>40234</v>
      </c>
      <c r="B19" s="70">
        <v>851604.7</v>
      </c>
      <c r="C19" s="70">
        <v>14197.17</v>
      </c>
      <c r="D19" s="70">
        <v>3980.54</v>
      </c>
      <c r="E19" s="70">
        <v>0</v>
      </c>
      <c r="F19" s="70">
        <v>0</v>
      </c>
      <c r="G19" s="70">
        <v>18177.71</v>
      </c>
      <c r="H19" s="71"/>
      <c r="I19" s="71"/>
    </row>
    <row r="20" spans="1:9" ht="12.75">
      <c r="A20" s="72">
        <v>40262</v>
      </c>
      <c r="B20" s="70">
        <v>837407.54</v>
      </c>
      <c r="C20" s="70">
        <v>14263.53</v>
      </c>
      <c r="D20" s="70">
        <v>3914.18</v>
      </c>
      <c r="E20" s="70">
        <v>0</v>
      </c>
      <c r="F20" s="70">
        <v>0</v>
      </c>
      <c r="G20" s="70">
        <v>18177.71</v>
      </c>
      <c r="H20" s="71"/>
      <c r="I20" s="71"/>
    </row>
    <row r="21" spans="1:9" ht="12.75">
      <c r="A21" s="72">
        <v>40293</v>
      </c>
      <c r="B21" s="70">
        <v>823144.01</v>
      </c>
      <c r="C21" s="70">
        <v>14330.2</v>
      </c>
      <c r="D21" s="70">
        <v>3847.51</v>
      </c>
      <c r="E21" s="70">
        <v>0</v>
      </c>
      <c r="F21" s="70">
        <v>0</v>
      </c>
      <c r="G21" s="70">
        <v>18177.71</v>
      </c>
      <c r="H21" s="71"/>
      <c r="I21" s="71"/>
    </row>
    <row r="22" spans="1:9" ht="12.75">
      <c r="A22" s="72">
        <v>40323</v>
      </c>
      <c r="B22" s="70">
        <v>808813.82</v>
      </c>
      <c r="C22" s="70">
        <v>14397.18</v>
      </c>
      <c r="D22" s="70">
        <v>3780.53</v>
      </c>
      <c r="E22" s="70">
        <v>0</v>
      </c>
      <c r="F22" s="70">
        <v>0</v>
      </c>
      <c r="G22" s="70">
        <v>18177.71</v>
      </c>
      <c r="H22" s="71"/>
      <c r="I22" s="71"/>
    </row>
    <row r="23" spans="1:9" ht="12.75">
      <c r="A23" s="72">
        <v>40354</v>
      </c>
      <c r="B23" s="70">
        <v>794416.64</v>
      </c>
      <c r="C23" s="70">
        <v>14464.47</v>
      </c>
      <c r="D23" s="70">
        <v>3713.24</v>
      </c>
      <c r="E23" s="70">
        <v>0</v>
      </c>
      <c r="F23" s="70">
        <v>0</v>
      </c>
      <c r="G23" s="70">
        <v>18177.71</v>
      </c>
      <c r="H23" s="71"/>
      <c r="I23" s="71"/>
    </row>
    <row r="24" spans="1:9" ht="12.75">
      <c r="A24" s="72">
        <v>40384</v>
      </c>
      <c r="B24" s="70">
        <v>779952.17</v>
      </c>
      <c r="C24" s="70">
        <v>14532.08</v>
      </c>
      <c r="D24" s="70">
        <v>3645.63</v>
      </c>
      <c r="E24" s="70">
        <v>0</v>
      </c>
      <c r="F24" s="70">
        <v>0</v>
      </c>
      <c r="G24" s="70">
        <v>18177.71</v>
      </c>
      <c r="H24" s="71"/>
      <c r="I24" s="71"/>
    </row>
    <row r="25" spans="1:9" ht="12.75">
      <c r="A25" s="72">
        <v>40415</v>
      </c>
      <c r="B25" s="70">
        <v>765420.09</v>
      </c>
      <c r="C25" s="70">
        <v>14600.01</v>
      </c>
      <c r="D25" s="70">
        <v>3577.7</v>
      </c>
      <c r="E25" s="70">
        <v>0</v>
      </c>
      <c r="F25" s="70">
        <v>0</v>
      </c>
      <c r="G25" s="70">
        <v>18177.71</v>
      </c>
      <c r="H25" s="71"/>
      <c r="I25" s="71"/>
    </row>
    <row r="26" spans="1:9" ht="12.75">
      <c r="A26" s="72">
        <v>40446</v>
      </c>
      <c r="B26" s="70">
        <v>750820.08</v>
      </c>
      <c r="C26" s="70">
        <v>14668.25</v>
      </c>
      <c r="D26" s="70">
        <v>3509.46</v>
      </c>
      <c r="E26" s="70">
        <v>0</v>
      </c>
      <c r="F26" s="70">
        <v>0</v>
      </c>
      <c r="G26" s="70">
        <v>18177.71</v>
      </c>
      <c r="H26" s="71"/>
      <c r="I26" s="71"/>
    </row>
    <row r="27" spans="1:9" ht="12.75">
      <c r="A27" s="72">
        <v>40476</v>
      </c>
      <c r="B27" s="70">
        <v>736151.83</v>
      </c>
      <c r="C27" s="70">
        <v>14736.81</v>
      </c>
      <c r="D27" s="70">
        <v>3440.9</v>
      </c>
      <c r="E27" s="70">
        <v>0</v>
      </c>
      <c r="F27" s="70">
        <v>0</v>
      </c>
      <c r="G27" s="70">
        <v>18177.71</v>
      </c>
      <c r="H27" s="71"/>
      <c r="I27" s="71"/>
    </row>
    <row r="28" spans="1:9" ht="12.75">
      <c r="A28" s="72">
        <v>40507</v>
      </c>
      <c r="B28" s="70">
        <v>721415.02</v>
      </c>
      <c r="C28" s="70">
        <v>14805.69</v>
      </c>
      <c r="D28" s="70">
        <v>3372.01</v>
      </c>
      <c r="E28" s="70">
        <v>0</v>
      </c>
      <c r="F28" s="70">
        <v>0</v>
      </c>
      <c r="G28" s="70">
        <v>18177.71</v>
      </c>
      <c r="H28" s="61"/>
      <c r="I28" s="61"/>
    </row>
    <row r="29" spans="1:9" ht="12.75">
      <c r="A29" s="72">
        <v>40537</v>
      </c>
      <c r="B29" s="70">
        <v>706609.32</v>
      </c>
      <c r="C29" s="70">
        <v>14874.9</v>
      </c>
      <c r="D29" s="70">
        <v>3302.81</v>
      </c>
      <c r="E29" s="70">
        <v>0</v>
      </c>
      <c r="F29" s="70">
        <v>0</v>
      </c>
      <c r="G29" s="70">
        <v>18177.71</v>
      </c>
      <c r="H29" s="71">
        <f>SUM(C18:C29)</f>
        <v>174001.4</v>
      </c>
      <c r="I29" s="71">
        <f>SUM(D18:D29)</f>
        <v>44131.1</v>
      </c>
    </row>
    <row r="30" spans="1:9" ht="12.75">
      <c r="A30" s="72">
        <v>40568</v>
      </c>
      <c r="B30" s="70">
        <v>691734.43</v>
      </c>
      <c r="C30" s="70">
        <v>14944.43</v>
      </c>
      <c r="D30" s="70">
        <v>3233.28</v>
      </c>
      <c r="E30" s="70">
        <v>0</v>
      </c>
      <c r="F30" s="70">
        <v>0</v>
      </c>
      <c r="G30" s="70">
        <v>18177.71</v>
      </c>
      <c r="H30" s="71"/>
      <c r="I30" s="71"/>
    </row>
    <row r="31" spans="1:9" ht="12.75">
      <c r="A31" s="72">
        <v>40599</v>
      </c>
      <c r="B31" s="70">
        <v>676790</v>
      </c>
      <c r="C31" s="70">
        <v>15014.28</v>
      </c>
      <c r="D31" s="70">
        <v>3163.43</v>
      </c>
      <c r="E31" s="70">
        <v>0</v>
      </c>
      <c r="F31" s="70">
        <v>0</v>
      </c>
      <c r="G31" s="70">
        <v>18177.71</v>
      </c>
      <c r="H31" s="71"/>
      <c r="I31" s="71"/>
    </row>
    <row r="32" spans="1:9" ht="12.75">
      <c r="A32" s="72">
        <v>40627</v>
      </c>
      <c r="B32" s="70">
        <v>661775.72</v>
      </c>
      <c r="C32" s="70">
        <v>15084.46</v>
      </c>
      <c r="D32" s="70">
        <v>3093.25</v>
      </c>
      <c r="E32" s="70">
        <v>0</v>
      </c>
      <c r="F32" s="70">
        <v>0</v>
      </c>
      <c r="G32" s="70">
        <v>18177.71</v>
      </c>
      <c r="H32" s="71"/>
      <c r="I32" s="71"/>
    </row>
    <row r="33" spans="1:9" ht="12.75">
      <c r="A33" s="72">
        <v>40658</v>
      </c>
      <c r="B33" s="70">
        <v>646691.26</v>
      </c>
      <c r="C33" s="70">
        <v>15154.97</v>
      </c>
      <c r="D33" s="70">
        <v>3022.74</v>
      </c>
      <c r="E33" s="70">
        <v>0</v>
      </c>
      <c r="F33" s="70">
        <v>0</v>
      </c>
      <c r="G33" s="70">
        <v>18177.71</v>
      </c>
      <c r="H33" s="71"/>
      <c r="I33" s="71"/>
    </row>
    <row r="34" spans="1:9" ht="12.75">
      <c r="A34" s="72">
        <v>40688</v>
      </c>
      <c r="B34" s="70">
        <v>631536.3</v>
      </c>
      <c r="C34" s="70">
        <v>15225.8</v>
      </c>
      <c r="D34" s="70">
        <v>2951.91</v>
      </c>
      <c r="E34" s="70">
        <v>0</v>
      </c>
      <c r="F34" s="70">
        <v>0</v>
      </c>
      <c r="G34" s="70">
        <v>18177.71</v>
      </c>
      <c r="H34" s="71"/>
      <c r="I34" s="71"/>
    </row>
    <row r="35" spans="1:9" ht="12.75">
      <c r="A35" s="72">
        <v>40719</v>
      </c>
      <c r="B35" s="70">
        <v>616310.5</v>
      </c>
      <c r="C35" s="70">
        <v>15296.97</v>
      </c>
      <c r="D35" s="70">
        <v>2880.74</v>
      </c>
      <c r="E35" s="70">
        <v>0</v>
      </c>
      <c r="F35" s="70">
        <v>0</v>
      </c>
      <c r="G35" s="70">
        <v>18177.71</v>
      </c>
      <c r="H35" s="71"/>
      <c r="I35" s="71"/>
    </row>
    <row r="36" spans="1:9" ht="12.75">
      <c r="A36" s="72">
        <v>40749</v>
      </c>
      <c r="B36" s="70">
        <v>601013.53</v>
      </c>
      <c r="C36" s="70">
        <v>15368.47</v>
      </c>
      <c r="D36" s="70">
        <v>2809.24</v>
      </c>
      <c r="E36" s="70">
        <v>0</v>
      </c>
      <c r="F36" s="70">
        <v>0</v>
      </c>
      <c r="G36" s="70">
        <v>18177.71</v>
      </c>
      <c r="H36" s="71"/>
      <c r="I36" s="71"/>
    </row>
    <row r="37" spans="1:9" ht="12.75">
      <c r="A37" s="72">
        <v>40780</v>
      </c>
      <c r="B37" s="70">
        <v>585645.05</v>
      </c>
      <c r="C37" s="70">
        <v>15440.31</v>
      </c>
      <c r="D37" s="70">
        <v>2737.4</v>
      </c>
      <c r="E37" s="70">
        <v>0</v>
      </c>
      <c r="F37" s="70">
        <v>0</v>
      </c>
      <c r="G37" s="70">
        <v>18177.71</v>
      </c>
      <c r="H37" s="71"/>
      <c r="I37" s="71"/>
    </row>
    <row r="38" spans="1:9" ht="12.75">
      <c r="A38" s="72">
        <v>40811</v>
      </c>
      <c r="B38" s="70">
        <v>570204.75</v>
      </c>
      <c r="C38" s="70">
        <v>15512.48</v>
      </c>
      <c r="D38" s="70">
        <v>2665.23</v>
      </c>
      <c r="E38" s="70">
        <v>0</v>
      </c>
      <c r="F38" s="70">
        <v>0</v>
      </c>
      <c r="G38" s="70">
        <v>18177.71</v>
      </c>
      <c r="H38" s="71"/>
      <c r="I38" s="71"/>
    </row>
    <row r="39" spans="1:9" ht="12.75">
      <c r="A39" s="72">
        <v>40841</v>
      </c>
      <c r="B39" s="70">
        <v>554692.27</v>
      </c>
      <c r="C39" s="70">
        <v>15584.98</v>
      </c>
      <c r="D39" s="70">
        <v>2592.72</v>
      </c>
      <c r="E39" s="70">
        <v>0</v>
      </c>
      <c r="F39" s="70">
        <v>0</v>
      </c>
      <c r="G39" s="70">
        <v>18177.71</v>
      </c>
      <c r="H39" s="71"/>
      <c r="I39" s="71"/>
    </row>
    <row r="40" spans="1:9" ht="12.75">
      <c r="A40" s="72">
        <v>40872</v>
      </c>
      <c r="B40" s="70">
        <v>539107.29</v>
      </c>
      <c r="C40" s="70">
        <v>15657.83</v>
      </c>
      <c r="D40" s="70">
        <v>2519.88</v>
      </c>
      <c r="E40" s="70">
        <v>0</v>
      </c>
      <c r="F40" s="70">
        <v>0</v>
      </c>
      <c r="G40" s="70">
        <v>18177.71</v>
      </c>
      <c r="H40" s="61"/>
      <c r="I40" s="61"/>
    </row>
    <row r="41" spans="1:9" ht="12.75">
      <c r="A41" s="72">
        <v>40902</v>
      </c>
      <c r="B41" s="70">
        <v>523449.46</v>
      </c>
      <c r="C41" s="70">
        <v>15731.02</v>
      </c>
      <c r="D41" s="70">
        <v>2446.69</v>
      </c>
      <c r="E41" s="70">
        <v>0</v>
      </c>
      <c r="F41" s="70">
        <v>0</v>
      </c>
      <c r="G41" s="70">
        <v>18177.71</v>
      </c>
      <c r="H41" s="71">
        <f>SUM(C30:C41)</f>
        <v>184016</v>
      </c>
      <c r="I41" s="71">
        <f>SUM(D30:D41)</f>
        <v>34116.51</v>
      </c>
    </row>
    <row r="42" spans="1:9" ht="12.75">
      <c r="A42" s="72">
        <v>40933</v>
      </c>
      <c r="B42" s="70">
        <v>507718.44</v>
      </c>
      <c r="C42" s="70">
        <v>15804.55</v>
      </c>
      <c r="D42" s="70">
        <v>2373.16</v>
      </c>
      <c r="E42" s="70">
        <v>0</v>
      </c>
      <c r="F42" s="70">
        <v>0</v>
      </c>
      <c r="G42" s="70">
        <v>18177.71</v>
      </c>
      <c r="H42" s="71"/>
      <c r="I42" s="71"/>
    </row>
    <row r="43" spans="1:9" ht="12.75">
      <c r="A43" s="72">
        <v>40964</v>
      </c>
      <c r="B43" s="70">
        <v>491913.89</v>
      </c>
      <c r="C43" s="70">
        <v>15878.42</v>
      </c>
      <c r="D43" s="70">
        <v>2299.29</v>
      </c>
      <c r="E43" s="70">
        <v>0</v>
      </c>
      <c r="F43" s="70">
        <v>0</v>
      </c>
      <c r="G43" s="70">
        <v>18177.71</v>
      </c>
      <c r="H43" s="71"/>
      <c r="I43" s="71"/>
    </row>
    <row r="44" spans="1:9" ht="12.75">
      <c r="A44" s="72">
        <v>40993</v>
      </c>
      <c r="B44" s="70">
        <v>476035.47</v>
      </c>
      <c r="C44" s="70">
        <v>15952.64</v>
      </c>
      <c r="D44" s="70">
        <v>2225.07</v>
      </c>
      <c r="E44" s="70">
        <v>0</v>
      </c>
      <c r="F44" s="70">
        <v>0</v>
      </c>
      <c r="G44" s="70">
        <v>18177.71</v>
      </c>
      <c r="H44" s="71"/>
      <c r="I44" s="71"/>
    </row>
    <row r="45" spans="1:9" ht="12.75">
      <c r="A45" s="72">
        <v>41024</v>
      </c>
      <c r="B45" s="70">
        <v>460082.83</v>
      </c>
      <c r="C45" s="70">
        <v>16027.2</v>
      </c>
      <c r="D45" s="70">
        <v>2150.5</v>
      </c>
      <c r="E45" s="70">
        <v>0</v>
      </c>
      <c r="F45" s="70">
        <v>0</v>
      </c>
      <c r="G45" s="70">
        <v>18177.71</v>
      </c>
      <c r="H45" s="71"/>
      <c r="I45" s="71"/>
    </row>
    <row r="46" spans="1:9" ht="12.75">
      <c r="A46" s="72">
        <v>41054</v>
      </c>
      <c r="B46" s="70">
        <v>444055.63</v>
      </c>
      <c r="C46" s="70">
        <v>16102.12</v>
      </c>
      <c r="D46" s="70">
        <v>2075.59</v>
      </c>
      <c r="E46" s="70">
        <v>0</v>
      </c>
      <c r="F46" s="70">
        <v>0</v>
      </c>
      <c r="G46" s="70">
        <v>18177.71</v>
      </c>
      <c r="H46" s="71"/>
      <c r="I46" s="71"/>
    </row>
    <row r="47" spans="1:9" ht="12.75">
      <c r="A47" s="72">
        <v>41085</v>
      </c>
      <c r="B47" s="70">
        <v>427953.51</v>
      </c>
      <c r="C47" s="70">
        <v>16177.38</v>
      </c>
      <c r="D47" s="70">
        <v>2000.33</v>
      </c>
      <c r="E47" s="70">
        <v>0</v>
      </c>
      <c r="F47" s="70">
        <v>0</v>
      </c>
      <c r="G47" s="70">
        <v>18177.71</v>
      </c>
      <c r="H47" s="71"/>
      <c r="I47" s="71"/>
    </row>
    <row r="48" spans="1:9" ht="12.75">
      <c r="A48" s="72">
        <v>41115</v>
      </c>
      <c r="B48" s="70">
        <v>411776.13</v>
      </c>
      <c r="C48" s="70">
        <v>16253</v>
      </c>
      <c r="D48" s="70">
        <v>1924.71</v>
      </c>
      <c r="E48" s="70">
        <v>0</v>
      </c>
      <c r="F48" s="70">
        <v>0</v>
      </c>
      <c r="G48" s="70">
        <v>18177.71</v>
      </c>
      <c r="H48" s="71"/>
      <c r="I48" s="71"/>
    </row>
    <row r="49" spans="1:9" ht="12.75">
      <c r="A49" s="72">
        <v>41146</v>
      </c>
      <c r="B49" s="70">
        <v>395523.13</v>
      </c>
      <c r="C49" s="70">
        <v>16328.97</v>
      </c>
      <c r="D49" s="70">
        <v>1848.74</v>
      </c>
      <c r="E49" s="70">
        <v>0</v>
      </c>
      <c r="F49" s="70">
        <v>0</v>
      </c>
      <c r="G49" s="70">
        <v>18177.71</v>
      </c>
      <c r="H49" s="71"/>
      <c r="I49" s="71"/>
    </row>
    <row r="50" spans="1:9" ht="12.75">
      <c r="A50" s="72">
        <v>41177</v>
      </c>
      <c r="B50" s="70">
        <v>379194.17</v>
      </c>
      <c r="C50" s="70">
        <v>16405.29</v>
      </c>
      <c r="D50" s="70">
        <v>1772.42</v>
      </c>
      <c r="E50" s="70">
        <v>0</v>
      </c>
      <c r="F50" s="70">
        <v>0</v>
      </c>
      <c r="G50" s="70">
        <v>18177.71</v>
      </c>
      <c r="H50" s="71"/>
      <c r="I50" s="71"/>
    </row>
    <row r="51" spans="1:9" ht="12.75">
      <c r="A51" s="72">
        <v>41207</v>
      </c>
      <c r="B51" s="70">
        <v>362788.87</v>
      </c>
      <c r="C51" s="70">
        <v>16481.97</v>
      </c>
      <c r="D51" s="70">
        <v>1695.74</v>
      </c>
      <c r="E51" s="70">
        <v>0</v>
      </c>
      <c r="F51" s="70">
        <v>0</v>
      </c>
      <c r="G51" s="70">
        <v>18177.71</v>
      </c>
      <c r="H51" s="71"/>
      <c r="I51" s="71"/>
    </row>
    <row r="52" spans="1:9" ht="12.75">
      <c r="A52" s="72">
        <v>41238</v>
      </c>
      <c r="B52" s="70">
        <v>346306.9</v>
      </c>
      <c r="C52" s="70">
        <v>16559.01</v>
      </c>
      <c r="D52" s="70">
        <v>1618.7</v>
      </c>
      <c r="E52" s="70">
        <v>0</v>
      </c>
      <c r="F52" s="70">
        <v>0</v>
      </c>
      <c r="G52" s="70">
        <v>18177.71</v>
      </c>
      <c r="H52" s="61"/>
      <c r="I52" s="61"/>
    </row>
    <row r="53" spans="1:9" ht="12.75">
      <c r="A53" s="72">
        <v>41268</v>
      </c>
      <c r="B53" s="70">
        <v>329747.89</v>
      </c>
      <c r="C53" s="70">
        <v>16636.41</v>
      </c>
      <c r="D53" s="70">
        <v>1541.3</v>
      </c>
      <c r="E53" s="70">
        <v>0</v>
      </c>
      <c r="F53" s="70">
        <v>0</v>
      </c>
      <c r="G53" s="70">
        <v>18177.71</v>
      </c>
      <c r="H53" s="71">
        <f>SUM(C42:C53)</f>
        <v>194606.96000000002</v>
      </c>
      <c r="I53" s="71">
        <f>SUM(D42:D53)</f>
        <v>23525.550000000007</v>
      </c>
    </row>
    <row r="54" spans="1:9" ht="12.75">
      <c r="A54" s="72">
        <v>41299</v>
      </c>
      <c r="B54" s="70">
        <v>313111.48</v>
      </c>
      <c r="C54" s="70">
        <v>16714.17</v>
      </c>
      <c r="D54" s="70">
        <v>1463.54</v>
      </c>
      <c r="E54" s="70">
        <v>0</v>
      </c>
      <c r="F54" s="70">
        <v>0</v>
      </c>
      <c r="G54" s="70">
        <v>18177.71</v>
      </c>
      <c r="H54" s="71"/>
      <c r="I54" s="71"/>
    </row>
    <row r="55" spans="1:9" ht="12.75">
      <c r="A55" s="72">
        <v>41330</v>
      </c>
      <c r="B55" s="70">
        <v>296397.31</v>
      </c>
      <c r="C55" s="70">
        <v>16792.3</v>
      </c>
      <c r="D55" s="70">
        <v>1385.41</v>
      </c>
      <c r="E55" s="70">
        <v>0</v>
      </c>
      <c r="F55" s="70">
        <v>0</v>
      </c>
      <c r="G55" s="70">
        <v>18177.71</v>
      </c>
      <c r="H55" s="71"/>
      <c r="I55" s="71"/>
    </row>
    <row r="56" spans="1:9" ht="12.75">
      <c r="A56" s="72">
        <v>41358</v>
      </c>
      <c r="B56" s="70">
        <v>279605.01</v>
      </c>
      <c r="C56" s="70">
        <v>16870.79</v>
      </c>
      <c r="D56" s="70">
        <v>1306.92</v>
      </c>
      <c r="E56" s="70">
        <v>0</v>
      </c>
      <c r="F56" s="70">
        <v>0</v>
      </c>
      <c r="G56" s="70">
        <v>18177.71</v>
      </c>
      <c r="H56" s="71"/>
      <c r="I56" s="71"/>
    </row>
    <row r="57" spans="1:9" ht="12.75">
      <c r="A57" s="72">
        <v>41389</v>
      </c>
      <c r="B57" s="70">
        <v>262734.22</v>
      </c>
      <c r="C57" s="70">
        <v>16949.64</v>
      </c>
      <c r="D57" s="70">
        <v>1228.06</v>
      </c>
      <c r="E57" s="70">
        <v>0</v>
      </c>
      <c r="F57" s="70">
        <v>0</v>
      </c>
      <c r="G57" s="70">
        <v>18177.71</v>
      </c>
      <c r="H57" s="71"/>
      <c r="I57" s="71"/>
    </row>
    <row r="58" spans="1:9" ht="12.75">
      <c r="A58" s="72">
        <v>41419</v>
      </c>
      <c r="B58" s="70">
        <v>245784.58</v>
      </c>
      <c r="C58" s="70">
        <v>17028.87</v>
      </c>
      <c r="D58" s="70">
        <v>1148.84</v>
      </c>
      <c r="E58" s="70">
        <v>0</v>
      </c>
      <c r="F58" s="70">
        <v>0</v>
      </c>
      <c r="G58" s="70">
        <v>18177.71</v>
      </c>
      <c r="H58" s="71"/>
      <c r="I58" s="71"/>
    </row>
    <row r="59" spans="1:9" ht="12.75">
      <c r="A59" s="72">
        <v>41450</v>
      </c>
      <c r="B59" s="70">
        <v>228755.71</v>
      </c>
      <c r="C59" s="70">
        <v>17108.47</v>
      </c>
      <c r="D59" s="70">
        <v>1069.24</v>
      </c>
      <c r="E59" s="70">
        <v>0</v>
      </c>
      <c r="F59" s="70">
        <v>0</v>
      </c>
      <c r="G59" s="70">
        <v>18177.71</v>
      </c>
      <c r="H59" s="71"/>
      <c r="I59" s="71"/>
    </row>
    <row r="60" spans="1:9" ht="12.75">
      <c r="A60" s="72">
        <v>41480</v>
      </c>
      <c r="B60" s="70">
        <v>211647.24</v>
      </c>
      <c r="C60" s="70">
        <v>17188.43</v>
      </c>
      <c r="D60" s="70">
        <v>989.27</v>
      </c>
      <c r="E60" s="70">
        <v>0</v>
      </c>
      <c r="F60" s="70">
        <v>0</v>
      </c>
      <c r="G60" s="70">
        <v>18177.71</v>
      </c>
      <c r="H60" s="71"/>
      <c r="I60" s="71"/>
    </row>
    <row r="61" spans="1:9" ht="12.75">
      <c r="A61" s="72">
        <v>41511</v>
      </c>
      <c r="B61" s="70">
        <v>194458.81</v>
      </c>
      <c r="C61" s="70">
        <v>17268.78</v>
      </c>
      <c r="D61" s="70">
        <v>908.93</v>
      </c>
      <c r="E61" s="70">
        <v>0</v>
      </c>
      <c r="F61" s="70">
        <v>0</v>
      </c>
      <c r="G61" s="70">
        <v>18177.71</v>
      </c>
      <c r="H61" s="71"/>
      <c r="I61" s="71"/>
    </row>
    <row r="62" spans="1:9" ht="12.75">
      <c r="A62" s="72">
        <v>41542</v>
      </c>
      <c r="B62" s="70">
        <v>177190.03</v>
      </c>
      <c r="C62" s="70">
        <v>17349.49</v>
      </c>
      <c r="D62" s="70">
        <v>828.22</v>
      </c>
      <c r="E62" s="70">
        <v>0</v>
      </c>
      <c r="F62" s="70">
        <v>0</v>
      </c>
      <c r="G62" s="70">
        <v>18177.71</v>
      </c>
      <c r="H62" s="71"/>
      <c r="I62" s="71"/>
    </row>
    <row r="63" spans="1:9" ht="12.75">
      <c r="A63" s="72">
        <v>41572</v>
      </c>
      <c r="B63" s="70">
        <v>159840.54</v>
      </c>
      <c r="C63" s="70">
        <v>17430.59</v>
      </c>
      <c r="D63" s="70">
        <v>747.12</v>
      </c>
      <c r="E63" s="70">
        <v>0</v>
      </c>
      <c r="F63" s="70">
        <v>0</v>
      </c>
      <c r="G63" s="70">
        <v>18177.71</v>
      </c>
      <c r="H63" s="71"/>
      <c r="I63" s="71"/>
    </row>
    <row r="64" spans="1:9" ht="12.75">
      <c r="A64" s="72">
        <v>41603</v>
      </c>
      <c r="B64" s="70">
        <v>142409.95</v>
      </c>
      <c r="C64" s="70">
        <v>17512.06</v>
      </c>
      <c r="D64" s="70">
        <v>665.65</v>
      </c>
      <c r="E64" s="70">
        <v>0</v>
      </c>
      <c r="F64" s="70">
        <v>0</v>
      </c>
      <c r="G64" s="70">
        <v>18177.71</v>
      </c>
      <c r="H64" s="61"/>
      <c r="I64" s="61"/>
    </row>
    <row r="65" spans="1:9" ht="12.75">
      <c r="A65" s="72">
        <v>41633</v>
      </c>
      <c r="B65" s="70">
        <v>124897.89</v>
      </c>
      <c r="C65" s="70">
        <v>17593.91</v>
      </c>
      <c r="D65" s="70">
        <v>583.79</v>
      </c>
      <c r="E65" s="70">
        <v>0</v>
      </c>
      <c r="F65" s="70">
        <v>0</v>
      </c>
      <c r="G65" s="70">
        <v>18177.71</v>
      </c>
      <c r="H65" s="71">
        <f>SUM(C54:C65)</f>
        <v>205807.49999999997</v>
      </c>
      <c r="I65" s="71">
        <f>SUM(D54:D65)</f>
        <v>12324.990000000002</v>
      </c>
    </row>
    <row r="66" spans="1:9" ht="12.75">
      <c r="A66" s="73" t="s">
        <v>36</v>
      </c>
      <c r="B66" s="61"/>
      <c r="C66" s="71">
        <f>SUM(C11:C65)</f>
        <v>1079136.72</v>
      </c>
      <c r="D66" s="71">
        <f>SUM(D11:D65)</f>
        <v>139747.68999999997</v>
      </c>
      <c r="E66" s="71">
        <f>SUM(E11:E65)</f>
        <v>4200</v>
      </c>
      <c r="F66" s="71">
        <f>SUM(F11:F65)</f>
        <v>213559.32</v>
      </c>
      <c r="G66" s="71">
        <f>SUM(G11:G65)</f>
        <v>1432443.7999999984</v>
      </c>
      <c r="H66" s="71">
        <f>SUM(H17:H65)</f>
        <v>1079136.72</v>
      </c>
      <c r="I66" s="71">
        <f>SUM(I17:I65)</f>
        <v>139747.69</v>
      </c>
    </row>
    <row r="67" spans="1:9" ht="12.75">
      <c r="A67" s="72">
        <v>41664</v>
      </c>
      <c r="B67" s="75">
        <v>107303.98</v>
      </c>
      <c r="C67" s="70">
        <v>17676.15</v>
      </c>
      <c r="D67" s="70">
        <v>501.56</v>
      </c>
      <c r="E67" s="70">
        <v>0</v>
      </c>
      <c r="F67" s="70">
        <v>0</v>
      </c>
      <c r="G67" s="70">
        <v>18177.71</v>
      </c>
      <c r="H67" s="71"/>
      <c r="I67" s="71"/>
    </row>
    <row r="68" spans="1:9" ht="12.75">
      <c r="A68" s="72">
        <v>41695</v>
      </c>
      <c r="B68" s="70">
        <v>89627.83</v>
      </c>
      <c r="C68" s="70">
        <v>17758.77</v>
      </c>
      <c r="D68" s="70">
        <v>418.94</v>
      </c>
      <c r="E68" s="70">
        <v>0</v>
      </c>
      <c r="F68" s="70">
        <v>0</v>
      </c>
      <c r="G68" s="70">
        <v>18177.71</v>
      </c>
      <c r="H68" s="71"/>
      <c r="I68" s="71"/>
    </row>
    <row r="69" spans="1:9" ht="12.75">
      <c r="A69" s="72">
        <v>41723</v>
      </c>
      <c r="B69" s="70">
        <v>71869.05</v>
      </c>
      <c r="C69" s="70">
        <v>17841.78</v>
      </c>
      <c r="D69" s="70">
        <v>335.93</v>
      </c>
      <c r="E69" s="70">
        <v>0</v>
      </c>
      <c r="F69" s="70">
        <v>0</v>
      </c>
      <c r="G69" s="70">
        <v>18177.71</v>
      </c>
      <c r="H69" s="71"/>
      <c r="I69" s="71"/>
    </row>
    <row r="70" spans="1:9" ht="12.75">
      <c r="A70" s="72">
        <v>41754</v>
      </c>
      <c r="B70" s="70">
        <v>54027.27</v>
      </c>
      <c r="C70" s="70">
        <v>17925.18</v>
      </c>
      <c r="D70" s="70">
        <v>252.53</v>
      </c>
      <c r="E70" s="70">
        <v>0</v>
      </c>
      <c r="F70" s="70">
        <v>0</v>
      </c>
      <c r="G70" s="70">
        <v>18177.71</v>
      </c>
      <c r="H70" s="71"/>
      <c r="I70" s="71"/>
    </row>
    <row r="71" spans="1:9" ht="12.75">
      <c r="A71" s="72">
        <v>41784</v>
      </c>
      <c r="B71" s="70">
        <v>36102.1</v>
      </c>
      <c r="C71" s="70">
        <v>18008.96</v>
      </c>
      <c r="D71" s="70">
        <v>168.75</v>
      </c>
      <c r="E71" s="70">
        <v>0</v>
      </c>
      <c r="F71" s="70">
        <v>0</v>
      </c>
      <c r="G71" s="70">
        <v>18177.71</v>
      </c>
      <c r="H71" s="71"/>
      <c r="I71" s="71"/>
    </row>
    <row r="72" spans="1:9" ht="12.75">
      <c r="A72" s="72">
        <v>41815</v>
      </c>
      <c r="B72" s="70">
        <v>18093.14</v>
      </c>
      <c r="C72" s="70">
        <v>18093.14</v>
      </c>
      <c r="D72" s="70">
        <v>84.57</v>
      </c>
      <c r="E72" s="70">
        <v>0</v>
      </c>
      <c r="F72" s="70">
        <v>0</v>
      </c>
      <c r="G72" s="70">
        <v>18177.71</v>
      </c>
      <c r="H72" s="71"/>
      <c r="I72" s="71"/>
    </row>
    <row r="73" spans="1:9" ht="12.75">
      <c r="A73" s="73" t="s">
        <v>36</v>
      </c>
      <c r="B73" s="70"/>
      <c r="C73" s="70">
        <v>1186440.68</v>
      </c>
      <c r="D73" s="70">
        <v>141509.94</v>
      </c>
      <c r="E73" s="71">
        <v>4200</v>
      </c>
      <c r="F73" s="70">
        <v>213559.32</v>
      </c>
      <c r="G73" s="70">
        <v>1541509.94</v>
      </c>
      <c r="H73" s="71"/>
      <c r="I73" s="71"/>
    </row>
    <row r="74" spans="1:9" ht="12.75">
      <c r="A74" s="61"/>
      <c r="B74" s="71"/>
      <c r="C74" s="71"/>
      <c r="D74" s="71"/>
      <c r="E74" s="71"/>
      <c r="F74" s="71"/>
      <c r="G74" s="71"/>
      <c r="H74" s="61"/>
      <c r="I74" s="61"/>
    </row>
  </sheetData>
  <mergeCells count="4">
    <mergeCell ref="C2:C7"/>
    <mergeCell ref="D5:E5"/>
    <mergeCell ref="D6:E6"/>
    <mergeCell ref="D7:E7"/>
  </mergeCells>
  <printOptions/>
  <pageMargins left="0.5905511811023623" right="0.35433070866141736" top="0.35" bottom="0.43" header="0.21" footer="0.16"/>
  <pageSetup horizontalDpi="600" verticalDpi="600" orientation="portrait" paperSize="9" scale="75" r:id="rId2"/>
  <headerFooter alignWithMargins="0">
    <oddFooter>&amp;C&amp;F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E1">
      <selection activeCell="AG27" sqref="AG27"/>
    </sheetView>
  </sheetViews>
  <sheetFormatPr defaultColWidth="9.140625" defaultRowHeight="12.75"/>
  <cols>
    <col min="1" max="1" width="2.421875" style="0" customWidth="1"/>
    <col min="3" max="29" width="3.7109375" style="0" customWidth="1"/>
  </cols>
  <sheetData>
    <row r="1" ht="12.75">
      <c r="A1" s="2" t="s">
        <v>239</v>
      </c>
    </row>
    <row r="2" spans="3:30" ht="12.75">
      <c r="C2" s="17" t="s">
        <v>240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35"/>
      <c r="AC2" s="17"/>
      <c r="AD2" t="s">
        <v>3</v>
      </c>
    </row>
    <row r="3" spans="1:29" ht="12.75">
      <c r="A3" t="s">
        <v>241</v>
      </c>
      <c r="B3" s="36" t="s">
        <v>1</v>
      </c>
      <c r="C3" s="25">
        <v>1</v>
      </c>
      <c r="D3" s="25">
        <v>2</v>
      </c>
      <c r="E3" s="25">
        <v>3</v>
      </c>
      <c r="F3" s="10" t="s">
        <v>242</v>
      </c>
      <c r="G3" s="25">
        <v>4</v>
      </c>
      <c r="H3" s="25">
        <v>5</v>
      </c>
      <c r="I3" s="25">
        <v>6</v>
      </c>
      <c r="J3" s="10" t="s">
        <v>243</v>
      </c>
      <c r="K3" s="25">
        <v>7</v>
      </c>
      <c r="L3" s="25">
        <v>8</v>
      </c>
      <c r="M3" s="25">
        <v>9</v>
      </c>
      <c r="N3" s="25">
        <v>10</v>
      </c>
      <c r="O3" s="25">
        <v>11</v>
      </c>
      <c r="P3" s="25">
        <v>12</v>
      </c>
      <c r="Q3" s="25">
        <v>13</v>
      </c>
      <c r="R3" s="25">
        <v>14</v>
      </c>
      <c r="S3" s="25">
        <v>15</v>
      </c>
      <c r="T3" s="25">
        <v>16</v>
      </c>
      <c r="U3" s="25" t="s">
        <v>2</v>
      </c>
      <c r="V3" s="25">
        <v>17</v>
      </c>
      <c r="W3" s="25">
        <v>18</v>
      </c>
      <c r="X3" s="25">
        <v>19</v>
      </c>
      <c r="Y3" s="25">
        <v>20</v>
      </c>
      <c r="Z3" s="25">
        <v>21</v>
      </c>
      <c r="AA3" s="25">
        <v>22</v>
      </c>
      <c r="AB3" s="25">
        <v>23</v>
      </c>
      <c r="AC3" s="25">
        <v>24</v>
      </c>
    </row>
    <row r="4" spans="1:30" ht="12.75">
      <c r="A4" s="29">
        <v>1</v>
      </c>
      <c r="B4" s="36">
        <v>3</v>
      </c>
      <c r="AB4">
        <v>1</v>
      </c>
      <c r="AD4">
        <f>SUM(C4:AC4)</f>
        <v>1</v>
      </c>
    </row>
    <row r="5" spans="1:30" ht="12.75">
      <c r="A5" s="29">
        <f>A4+1</f>
        <v>2</v>
      </c>
      <c r="B5" s="36">
        <v>4</v>
      </c>
      <c r="Z5">
        <v>1</v>
      </c>
      <c r="AA5">
        <v>1</v>
      </c>
      <c r="AB5">
        <v>1</v>
      </c>
      <c r="AD5">
        <f aca="true" t="shared" si="0" ref="AD5:AD28">SUM(C5:AC5)</f>
        <v>3</v>
      </c>
    </row>
    <row r="6" spans="1:30" ht="12.75">
      <c r="A6" s="29">
        <f aca="true" t="shared" si="1" ref="A6:A25">A5+1</f>
        <v>3</v>
      </c>
      <c r="B6" s="36">
        <v>5</v>
      </c>
      <c r="C6">
        <v>3</v>
      </c>
      <c r="E6">
        <v>2</v>
      </c>
      <c r="G6">
        <v>3</v>
      </c>
      <c r="H6">
        <v>3</v>
      </c>
      <c r="I6">
        <v>3</v>
      </c>
      <c r="K6">
        <v>3</v>
      </c>
      <c r="L6">
        <v>1</v>
      </c>
      <c r="M6">
        <v>1</v>
      </c>
      <c r="N6">
        <v>2</v>
      </c>
      <c r="O6">
        <v>1</v>
      </c>
      <c r="P6">
        <v>2</v>
      </c>
      <c r="Q6">
        <v>1</v>
      </c>
      <c r="S6">
        <v>1</v>
      </c>
      <c r="T6">
        <v>1</v>
      </c>
      <c r="V6">
        <v>1</v>
      </c>
      <c r="W6">
        <v>3</v>
      </c>
      <c r="Y6">
        <v>2</v>
      </c>
      <c r="Z6">
        <v>1</v>
      </c>
      <c r="AA6">
        <v>1</v>
      </c>
      <c r="AD6">
        <f t="shared" si="0"/>
        <v>35</v>
      </c>
    </row>
    <row r="7" spans="1:30" ht="12.75">
      <c r="A7" s="29">
        <f t="shared" si="1"/>
        <v>4</v>
      </c>
      <c r="B7" s="36">
        <v>6</v>
      </c>
      <c r="C7">
        <v>3</v>
      </c>
      <c r="D7">
        <v>1</v>
      </c>
      <c r="E7">
        <v>2</v>
      </c>
      <c r="G7">
        <v>3</v>
      </c>
      <c r="H7">
        <v>3</v>
      </c>
      <c r="I7">
        <v>3</v>
      </c>
      <c r="K7">
        <v>3</v>
      </c>
      <c r="L7">
        <v>1</v>
      </c>
      <c r="M7">
        <v>2</v>
      </c>
      <c r="N7">
        <v>2</v>
      </c>
      <c r="O7">
        <v>1</v>
      </c>
      <c r="P7">
        <v>2</v>
      </c>
      <c r="Q7">
        <v>2</v>
      </c>
      <c r="R7">
        <v>1</v>
      </c>
      <c r="S7">
        <v>1</v>
      </c>
      <c r="T7">
        <v>1</v>
      </c>
      <c r="V7">
        <v>1</v>
      </c>
      <c r="W7">
        <v>3</v>
      </c>
      <c r="X7" s="37">
        <v>1</v>
      </c>
      <c r="Y7">
        <v>2</v>
      </c>
      <c r="Z7">
        <v>1</v>
      </c>
      <c r="AA7">
        <v>1</v>
      </c>
      <c r="AC7">
        <v>2</v>
      </c>
      <c r="AD7">
        <f t="shared" si="0"/>
        <v>42</v>
      </c>
    </row>
    <row r="8" spans="1:30" ht="12.75">
      <c r="A8" s="29">
        <f t="shared" si="1"/>
        <v>5</v>
      </c>
      <c r="B8" s="40">
        <f>B7+1</f>
        <v>7</v>
      </c>
      <c r="C8" s="41">
        <v>4</v>
      </c>
      <c r="D8" s="41">
        <v>1</v>
      </c>
      <c r="E8" s="41">
        <v>3</v>
      </c>
      <c r="F8" s="41"/>
      <c r="G8" s="41">
        <v>5</v>
      </c>
      <c r="H8" s="41">
        <v>3</v>
      </c>
      <c r="I8" s="41">
        <v>4</v>
      </c>
      <c r="J8" s="41"/>
      <c r="K8" s="41">
        <v>3</v>
      </c>
      <c r="L8" s="41">
        <v>2</v>
      </c>
      <c r="M8" s="41">
        <v>2</v>
      </c>
      <c r="N8" s="41">
        <v>2</v>
      </c>
      <c r="O8" s="41">
        <v>1</v>
      </c>
      <c r="P8" s="41">
        <v>2</v>
      </c>
      <c r="Q8" s="41">
        <v>2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3</v>
      </c>
      <c r="X8" s="42">
        <v>1</v>
      </c>
      <c r="Y8" s="41">
        <v>2</v>
      </c>
      <c r="Z8" s="41"/>
      <c r="AA8" s="41"/>
      <c r="AB8" s="41"/>
      <c r="AC8" s="41">
        <v>2</v>
      </c>
      <c r="AD8" s="43">
        <f t="shared" si="0"/>
        <v>47</v>
      </c>
    </row>
    <row r="9" spans="1:30" ht="12.75">
      <c r="A9" s="29">
        <f t="shared" si="1"/>
        <v>6</v>
      </c>
      <c r="B9" s="40">
        <f aca="true" t="shared" si="2" ref="B9:B25">B8+1</f>
        <v>8</v>
      </c>
      <c r="C9" s="41">
        <v>4</v>
      </c>
      <c r="D9" s="41">
        <v>1</v>
      </c>
      <c r="E9" s="41">
        <v>3</v>
      </c>
      <c r="F9" s="41"/>
      <c r="G9" s="41">
        <v>5</v>
      </c>
      <c r="H9" s="41">
        <v>3</v>
      </c>
      <c r="I9" s="41">
        <v>4</v>
      </c>
      <c r="J9" s="41"/>
      <c r="K9" s="41">
        <v>3</v>
      </c>
      <c r="L9" s="41">
        <v>2</v>
      </c>
      <c r="M9" s="41">
        <v>2</v>
      </c>
      <c r="N9" s="41">
        <v>2</v>
      </c>
      <c r="O9" s="41">
        <v>1</v>
      </c>
      <c r="P9" s="41">
        <v>2</v>
      </c>
      <c r="Q9" s="41">
        <v>2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3</v>
      </c>
      <c r="X9" s="42">
        <v>1</v>
      </c>
      <c r="Y9" s="41">
        <v>2</v>
      </c>
      <c r="Z9" s="41"/>
      <c r="AA9" s="41"/>
      <c r="AB9" s="41"/>
      <c r="AC9" s="41">
        <v>2</v>
      </c>
      <c r="AD9" s="43">
        <f t="shared" si="0"/>
        <v>47</v>
      </c>
    </row>
    <row r="10" spans="1:30" ht="12.75">
      <c r="A10" s="29">
        <f t="shared" si="1"/>
        <v>7</v>
      </c>
      <c r="B10" s="40">
        <f t="shared" si="2"/>
        <v>9</v>
      </c>
      <c r="C10" s="41">
        <v>4</v>
      </c>
      <c r="D10" s="41">
        <v>1</v>
      </c>
      <c r="E10" s="41">
        <v>3</v>
      </c>
      <c r="F10" s="41"/>
      <c r="G10" s="41">
        <v>5</v>
      </c>
      <c r="H10" s="41">
        <v>3</v>
      </c>
      <c r="I10" s="41">
        <v>4</v>
      </c>
      <c r="J10" s="41"/>
      <c r="K10" s="41">
        <v>3</v>
      </c>
      <c r="L10" s="41">
        <v>2</v>
      </c>
      <c r="M10" s="41">
        <v>2</v>
      </c>
      <c r="N10" s="41">
        <v>2</v>
      </c>
      <c r="O10" s="41">
        <v>1</v>
      </c>
      <c r="P10" s="41">
        <v>2</v>
      </c>
      <c r="Q10" s="41">
        <v>2</v>
      </c>
      <c r="R10" s="41">
        <v>1</v>
      </c>
      <c r="S10" s="41">
        <v>1</v>
      </c>
      <c r="T10" s="41">
        <v>1</v>
      </c>
      <c r="U10" s="41">
        <v>1</v>
      </c>
      <c r="V10" s="41">
        <v>1</v>
      </c>
      <c r="W10" s="41">
        <v>3</v>
      </c>
      <c r="X10" s="42">
        <v>1</v>
      </c>
      <c r="Y10" s="41">
        <v>2</v>
      </c>
      <c r="Z10" s="41"/>
      <c r="AA10" s="41"/>
      <c r="AB10" s="41"/>
      <c r="AC10" s="41">
        <v>2</v>
      </c>
      <c r="AD10" s="43">
        <f t="shared" si="0"/>
        <v>47</v>
      </c>
    </row>
    <row r="11" spans="1:30" ht="12.75">
      <c r="A11" s="29">
        <f t="shared" si="1"/>
        <v>8</v>
      </c>
      <c r="B11" s="36">
        <f t="shared" si="2"/>
        <v>10</v>
      </c>
      <c r="C11">
        <v>4</v>
      </c>
      <c r="D11">
        <v>1</v>
      </c>
      <c r="E11">
        <v>3</v>
      </c>
      <c r="G11">
        <v>4</v>
      </c>
      <c r="H11">
        <v>3</v>
      </c>
      <c r="I11">
        <v>4</v>
      </c>
      <c r="K11">
        <v>3</v>
      </c>
      <c r="L11">
        <v>2</v>
      </c>
      <c r="M11">
        <v>2</v>
      </c>
      <c r="N11">
        <v>2</v>
      </c>
      <c r="P11">
        <v>2</v>
      </c>
      <c r="Q11">
        <v>1</v>
      </c>
      <c r="R11">
        <v>1</v>
      </c>
      <c r="S11">
        <v>1</v>
      </c>
      <c r="T11">
        <v>1</v>
      </c>
      <c r="U11">
        <v>1</v>
      </c>
      <c r="W11">
        <v>3</v>
      </c>
      <c r="Y11">
        <v>2</v>
      </c>
      <c r="AC11">
        <v>2</v>
      </c>
      <c r="AD11">
        <f t="shared" si="0"/>
        <v>42</v>
      </c>
    </row>
    <row r="12" spans="1:30" ht="12.75">
      <c r="A12" s="29">
        <f t="shared" si="1"/>
        <v>9</v>
      </c>
      <c r="B12" s="36">
        <f t="shared" si="2"/>
        <v>11</v>
      </c>
      <c r="C12">
        <v>4</v>
      </c>
      <c r="D12">
        <v>1</v>
      </c>
      <c r="E12">
        <v>3</v>
      </c>
      <c r="G12">
        <v>4</v>
      </c>
      <c r="H12">
        <v>3</v>
      </c>
      <c r="I12">
        <v>4</v>
      </c>
      <c r="K12">
        <v>3</v>
      </c>
      <c r="L12">
        <v>2</v>
      </c>
      <c r="M12">
        <v>2</v>
      </c>
      <c r="N12">
        <v>1</v>
      </c>
      <c r="R12">
        <v>1</v>
      </c>
      <c r="S12">
        <v>1</v>
      </c>
      <c r="T12">
        <v>1</v>
      </c>
      <c r="U12">
        <v>1</v>
      </c>
      <c r="W12">
        <v>3</v>
      </c>
      <c r="Y12">
        <v>2</v>
      </c>
      <c r="AC12">
        <v>2</v>
      </c>
      <c r="AD12">
        <f t="shared" si="0"/>
        <v>38</v>
      </c>
    </row>
    <row r="13" spans="1:30" ht="12.75">
      <c r="A13" s="29">
        <f t="shared" si="1"/>
        <v>10</v>
      </c>
      <c r="B13" s="36">
        <f t="shared" si="2"/>
        <v>12</v>
      </c>
      <c r="C13">
        <v>4</v>
      </c>
      <c r="D13">
        <v>1</v>
      </c>
      <c r="E13">
        <v>3</v>
      </c>
      <c r="G13">
        <v>4</v>
      </c>
      <c r="H13">
        <v>3</v>
      </c>
      <c r="I13">
        <v>4</v>
      </c>
      <c r="K13">
        <v>3</v>
      </c>
      <c r="L13">
        <v>2</v>
      </c>
      <c r="M13">
        <v>2</v>
      </c>
      <c r="N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3</v>
      </c>
      <c r="Y13">
        <v>2</v>
      </c>
      <c r="AC13">
        <v>2</v>
      </c>
      <c r="AD13">
        <f t="shared" si="0"/>
        <v>39</v>
      </c>
    </row>
    <row r="14" spans="1:30" ht="12.75">
      <c r="A14" s="29">
        <f t="shared" si="1"/>
        <v>11</v>
      </c>
      <c r="B14" s="36">
        <f t="shared" si="2"/>
        <v>13</v>
      </c>
      <c r="C14">
        <v>4</v>
      </c>
      <c r="D14">
        <v>1</v>
      </c>
      <c r="E14">
        <v>3</v>
      </c>
      <c r="G14">
        <v>4</v>
      </c>
      <c r="H14">
        <v>3</v>
      </c>
      <c r="I14">
        <v>4</v>
      </c>
      <c r="K14">
        <v>3</v>
      </c>
      <c r="L14">
        <v>2</v>
      </c>
      <c r="M14">
        <v>2</v>
      </c>
      <c r="N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3</v>
      </c>
      <c r="Y14">
        <v>2</v>
      </c>
      <c r="AC14">
        <v>2</v>
      </c>
      <c r="AD14">
        <f t="shared" si="0"/>
        <v>40</v>
      </c>
    </row>
    <row r="15" spans="1:30" ht="12.75">
      <c r="A15" s="29">
        <f t="shared" si="1"/>
        <v>12</v>
      </c>
      <c r="B15" s="36">
        <f t="shared" si="2"/>
        <v>14</v>
      </c>
      <c r="C15">
        <v>4</v>
      </c>
      <c r="D15">
        <v>1</v>
      </c>
      <c r="E15">
        <v>3</v>
      </c>
      <c r="G15">
        <v>4</v>
      </c>
      <c r="H15">
        <v>3</v>
      </c>
      <c r="I15">
        <v>4</v>
      </c>
      <c r="K15">
        <v>3</v>
      </c>
      <c r="L15">
        <v>2</v>
      </c>
      <c r="M15">
        <v>2</v>
      </c>
      <c r="N15">
        <v>2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3</v>
      </c>
      <c r="Y15">
        <v>2</v>
      </c>
      <c r="AC15">
        <v>2</v>
      </c>
      <c r="AD15">
        <f t="shared" si="0"/>
        <v>43</v>
      </c>
    </row>
    <row r="16" spans="1:30" ht="12.75">
      <c r="A16" s="29">
        <f t="shared" si="1"/>
        <v>13</v>
      </c>
      <c r="B16" s="36">
        <f t="shared" si="2"/>
        <v>15</v>
      </c>
      <c r="C16">
        <v>4</v>
      </c>
      <c r="D16">
        <v>1</v>
      </c>
      <c r="E16">
        <v>3</v>
      </c>
      <c r="G16">
        <v>4</v>
      </c>
      <c r="H16">
        <v>3</v>
      </c>
      <c r="I16">
        <v>4</v>
      </c>
      <c r="K16">
        <v>3</v>
      </c>
      <c r="L16">
        <v>2</v>
      </c>
      <c r="M16">
        <v>2</v>
      </c>
      <c r="N16">
        <v>2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3</v>
      </c>
      <c r="Y16">
        <v>2</v>
      </c>
      <c r="AC16">
        <v>2</v>
      </c>
      <c r="AD16">
        <f t="shared" si="0"/>
        <v>43</v>
      </c>
    </row>
    <row r="17" spans="1:30" ht="12.75">
      <c r="A17" s="29">
        <f t="shared" si="1"/>
        <v>14</v>
      </c>
      <c r="B17" s="36">
        <f t="shared" si="2"/>
        <v>16</v>
      </c>
      <c r="C17">
        <v>4</v>
      </c>
      <c r="D17">
        <v>1</v>
      </c>
      <c r="E17">
        <v>3</v>
      </c>
      <c r="G17">
        <v>4</v>
      </c>
      <c r="H17">
        <v>3</v>
      </c>
      <c r="I17">
        <v>4</v>
      </c>
      <c r="K17">
        <v>3</v>
      </c>
      <c r="L17">
        <v>2</v>
      </c>
      <c r="M17">
        <v>2</v>
      </c>
      <c r="N17">
        <v>2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3</v>
      </c>
      <c r="Y17">
        <v>2</v>
      </c>
      <c r="AC17">
        <v>2</v>
      </c>
      <c r="AD17">
        <f t="shared" si="0"/>
        <v>43</v>
      </c>
    </row>
    <row r="18" spans="1:30" ht="12.75">
      <c r="A18" s="29">
        <f t="shared" si="1"/>
        <v>15</v>
      </c>
      <c r="B18" s="36">
        <f t="shared" si="2"/>
        <v>17</v>
      </c>
      <c r="C18">
        <v>4</v>
      </c>
      <c r="D18">
        <v>1</v>
      </c>
      <c r="E18">
        <v>3</v>
      </c>
      <c r="G18">
        <v>4</v>
      </c>
      <c r="H18">
        <v>3</v>
      </c>
      <c r="I18">
        <v>4</v>
      </c>
      <c r="K18">
        <v>3</v>
      </c>
      <c r="L18">
        <v>2</v>
      </c>
      <c r="M18">
        <v>2</v>
      </c>
      <c r="N18">
        <v>2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3</v>
      </c>
      <c r="Y18">
        <v>2</v>
      </c>
      <c r="AC18">
        <v>2</v>
      </c>
      <c r="AD18">
        <f t="shared" si="0"/>
        <v>43</v>
      </c>
    </row>
    <row r="19" spans="1:30" ht="12.75">
      <c r="A19" s="29">
        <f t="shared" si="1"/>
        <v>16</v>
      </c>
      <c r="B19" s="36">
        <f t="shared" si="2"/>
        <v>18</v>
      </c>
      <c r="C19">
        <v>4</v>
      </c>
      <c r="D19">
        <v>1</v>
      </c>
      <c r="E19">
        <v>3</v>
      </c>
      <c r="G19">
        <v>4</v>
      </c>
      <c r="H19">
        <v>3</v>
      </c>
      <c r="I19">
        <v>4</v>
      </c>
      <c r="K19">
        <v>3</v>
      </c>
      <c r="L19">
        <v>2</v>
      </c>
      <c r="M19">
        <v>2</v>
      </c>
      <c r="N19">
        <v>2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3</v>
      </c>
      <c r="Y19">
        <v>2</v>
      </c>
      <c r="AC19">
        <v>2</v>
      </c>
      <c r="AD19">
        <f t="shared" si="0"/>
        <v>43</v>
      </c>
    </row>
    <row r="20" spans="1:30" ht="12.75">
      <c r="A20" s="29">
        <f t="shared" si="1"/>
        <v>17</v>
      </c>
      <c r="B20" s="36">
        <f t="shared" si="2"/>
        <v>19</v>
      </c>
      <c r="C20">
        <v>4</v>
      </c>
      <c r="D20">
        <v>1</v>
      </c>
      <c r="E20">
        <v>3</v>
      </c>
      <c r="G20">
        <v>3</v>
      </c>
      <c r="H20">
        <v>3</v>
      </c>
      <c r="I20">
        <v>4</v>
      </c>
      <c r="K20">
        <v>3</v>
      </c>
      <c r="L20">
        <v>2</v>
      </c>
      <c r="M20">
        <v>2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V20">
        <v>1</v>
      </c>
      <c r="W20">
        <v>2</v>
      </c>
      <c r="Y20">
        <v>2</v>
      </c>
      <c r="AC20">
        <v>1</v>
      </c>
      <c r="AD20">
        <f t="shared" si="0"/>
        <v>38</v>
      </c>
    </row>
    <row r="21" spans="1:30" ht="12.75">
      <c r="A21" s="29">
        <f t="shared" si="1"/>
        <v>18</v>
      </c>
      <c r="B21" s="36">
        <f t="shared" si="2"/>
        <v>20</v>
      </c>
      <c r="C21">
        <v>4</v>
      </c>
      <c r="D21">
        <v>1</v>
      </c>
      <c r="E21">
        <v>3</v>
      </c>
      <c r="G21">
        <v>3</v>
      </c>
      <c r="H21">
        <v>3</v>
      </c>
      <c r="I21">
        <v>3</v>
      </c>
      <c r="K21">
        <v>2</v>
      </c>
      <c r="L21">
        <v>1</v>
      </c>
      <c r="M21">
        <v>2</v>
      </c>
      <c r="N21">
        <v>1</v>
      </c>
      <c r="O21">
        <v>1</v>
      </c>
      <c r="P21">
        <v>1</v>
      </c>
      <c r="R21">
        <v>1</v>
      </c>
      <c r="S21">
        <v>1</v>
      </c>
      <c r="W21">
        <v>2</v>
      </c>
      <c r="Y21">
        <v>2</v>
      </c>
      <c r="AC21">
        <v>1</v>
      </c>
      <c r="AD21">
        <f t="shared" si="0"/>
        <v>32</v>
      </c>
    </row>
    <row r="22" spans="1:30" ht="12.75">
      <c r="A22" s="29">
        <f t="shared" si="1"/>
        <v>19</v>
      </c>
      <c r="B22" s="36">
        <f t="shared" si="2"/>
        <v>21</v>
      </c>
      <c r="C22">
        <v>4</v>
      </c>
      <c r="D22">
        <v>1</v>
      </c>
      <c r="E22">
        <v>2</v>
      </c>
      <c r="G22">
        <v>3</v>
      </c>
      <c r="H22">
        <v>3</v>
      </c>
      <c r="I22">
        <v>3</v>
      </c>
      <c r="K22">
        <v>2</v>
      </c>
      <c r="L22">
        <v>1</v>
      </c>
      <c r="M22">
        <v>1</v>
      </c>
      <c r="N22">
        <v>1</v>
      </c>
      <c r="P22">
        <v>1</v>
      </c>
      <c r="R22">
        <v>1</v>
      </c>
      <c r="S22">
        <v>1</v>
      </c>
      <c r="W22">
        <v>2</v>
      </c>
      <c r="Y22">
        <v>1</v>
      </c>
      <c r="AD22">
        <f t="shared" si="0"/>
        <v>27</v>
      </c>
    </row>
    <row r="23" spans="1:30" ht="12.75">
      <c r="A23" s="29">
        <f t="shared" si="1"/>
        <v>20</v>
      </c>
      <c r="B23" s="36">
        <f t="shared" si="2"/>
        <v>22</v>
      </c>
      <c r="C23">
        <v>3</v>
      </c>
      <c r="E23">
        <v>2</v>
      </c>
      <c r="G23">
        <v>3</v>
      </c>
      <c r="H23">
        <v>3</v>
      </c>
      <c r="I23">
        <v>3</v>
      </c>
      <c r="K23">
        <v>2</v>
      </c>
      <c r="L23">
        <v>1</v>
      </c>
      <c r="M23">
        <v>1</v>
      </c>
      <c r="S23">
        <v>1</v>
      </c>
      <c r="W23">
        <v>2</v>
      </c>
      <c r="Y23">
        <v>1</v>
      </c>
      <c r="AD23">
        <f t="shared" si="0"/>
        <v>22</v>
      </c>
    </row>
    <row r="24" spans="1:30" ht="12.75">
      <c r="A24" s="29">
        <f t="shared" si="1"/>
        <v>21</v>
      </c>
      <c r="B24" s="36">
        <f t="shared" si="2"/>
        <v>23</v>
      </c>
      <c r="C24">
        <v>3</v>
      </c>
      <c r="E24">
        <v>2</v>
      </c>
      <c r="G24">
        <v>3</v>
      </c>
      <c r="H24">
        <v>3</v>
      </c>
      <c r="I24">
        <v>3</v>
      </c>
      <c r="K24">
        <v>2</v>
      </c>
      <c r="W24">
        <v>2</v>
      </c>
      <c r="Y24">
        <v>1</v>
      </c>
      <c r="AD24">
        <f t="shared" si="0"/>
        <v>19</v>
      </c>
    </row>
    <row r="25" spans="1:30" ht="12.75">
      <c r="A25" s="29">
        <f t="shared" si="1"/>
        <v>22</v>
      </c>
      <c r="B25" s="39">
        <f t="shared" si="2"/>
        <v>24</v>
      </c>
      <c r="C25" s="12">
        <v>3</v>
      </c>
      <c r="D25" s="12"/>
      <c r="E25" s="12">
        <v>2</v>
      </c>
      <c r="F25" s="12"/>
      <c r="G25" s="12">
        <v>3</v>
      </c>
      <c r="H25" s="12">
        <v>2</v>
      </c>
      <c r="I25" s="12">
        <v>3</v>
      </c>
      <c r="J25" s="12"/>
      <c r="K25" s="12">
        <v>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>
        <f t="shared" si="0"/>
        <v>15</v>
      </c>
    </row>
    <row r="27" spans="2:30" ht="12.75">
      <c r="B27" s="29"/>
      <c r="C27" s="29">
        <f>C9</f>
        <v>4</v>
      </c>
      <c r="D27" s="29">
        <f aca="true" t="shared" si="3" ref="D27:AC27">D9</f>
        <v>1</v>
      </c>
      <c r="E27" s="29">
        <f t="shared" si="3"/>
        <v>3</v>
      </c>
      <c r="F27" s="29"/>
      <c r="G27" s="29">
        <f t="shared" si="3"/>
        <v>5</v>
      </c>
      <c r="H27" s="29">
        <f t="shared" si="3"/>
        <v>3</v>
      </c>
      <c r="I27" s="29">
        <f t="shared" si="3"/>
        <v>4</v>
      </c>
      <c r="J27" s="29"/>
      <c r="K27" s="29">
        <f t="shared" si="3"/>
        <v>3</v>
      </c>
      <c r="L27" s="29">
        <f t="shared" si="3"/>
        <v>2</v>
      </c>
      <c r="M27" s="29">
        <f t="shared" si="3"/>
        <v>2</v>
      </c>
      <c r="N27" s="29">
        <f t="shared" si="3"/>
        <v>2</v>
      </c>
      <c r="O27" s="29">
        <f t="shared" si="3"/>
        <v>1</v>
      </c>
      <c r="P27" s="29">
        <f t="shared" si="3"/>
        <v>2</v>
      </c>
      <c r="Q27" s="29">
        <f t="shared" si="3"/>
        <v>2</v>
      </c>
      <c r="R27" s="29">
        <f t="shared" si="3"/>
        <v>1</v>
      </c>
      <c r="S27" s="29">
        <f t="shared" si="3"/>
        <v>1</v>
      </c>
      <c r="T27" s="29">
        <f t="shared" si="3"/>
        <v>1</v>
      </c>
      <c r="U27" s="29">
        <f t="shared" si="3"/>
        <v>1</v>
      </c>
      <c r="V27" s="29">
        <f t="shared" si="3"/>
        <v>1</v>
      </c>
      <c r="W27" s="29">
        <f t="shared" si="3"/>
        <v>3</v>
      </c>
      <c r="X27" s="29">
        <f t="shared" si="3"/>
        <v>1</v>
      </c>
      <c r="Y27" s="29">
        <f t="shared" si="3"/>
        <v>2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2</v>
      </c>
      <c r="AD27" s="29">
        <f t="shared" si="0"/>
        <v>47</v>
      </c>
    </row>
    <row r="28" spans="2:30" ht="12.75">
      <c r="B28" s="29" t="s">
        <v>244</v>
      </c>
      <c r="C28" s="29">
        <v>5</v>
      </c>
      <c r="D28" s="29">
        <v>1</v>
      </c>
      <c r="E28" s="29">
        <v>3</v>
      </c>
      <c r="F28" s="29">
        <v>3</v>
      </c>
      <c r="G28" s="29">
        <v>5</v>
      </c>
      <c r="H28" s="29">
        <v>5</v>
      </c>
      <c r="I28" s="29">
        <v>3</v>
      </c>
      <c r="J28" s="29">
        <v>2</v>
      </c>
      <c r="K28" s="29">
        <v>3</v>
      </c>
      <c r="L28" s="29">
        <v>4</v>
      </c>
      <c r="M28" s="29">
        <v>3</v>
      </c>
      <c r="N28" s="29">
        <v>2</v>
      </c>
      <c r="O28" s="29">
        <v>1</v>
      </c>
      <c r="P28" s="29">
        <v>2</v>
      </c>
      <c r="Q28" s="29">
        <v>2</v>
      </c>
      <c r="R28" s="29">
        <v>1</v>
      </c>
      <c r="S28" s="29">
        <v>1</v>
      </c>
      <c r="T28" s="29">
        <v>1</v>
      </c>
      <c r="U28" s="29">
        <v>1</v>
      </c>
      <c r="V28" s="29"/>
      <c r="W28" s="29"/>
      <c r="X28" s="29"/>
      <c r="Y28" s="29"/>
      <c r="Z28" s="38">
        <v>1</v>
      </c>
      <c r="AA28" s="38">
        <v>2</v>
      </c>
      <c r="AB28" s="29"/>
      <c r="AC28" s="29"/>
      <c r="AD28" s="29">
        <f t="shared" si="0"/>
        <v>51</v>
      </c>
    </row>
  </sheetData>
  <printOptions/>
  <pageMargins left="0.88" right="0.35433070866141736" top="0.984251968503937" bottom="0.984251968503937" header="0.5118110236220472" footer="0.5118110236220472"/>
  <pageSetup horizontalDpi="600" verticalDpi="600" orientation="landscape" paperSize="9" scale="80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17" sqref="B17"/>
    </sheetView>
  </sheetViews>
  <sheetFormatPr defaultColWidth="9.140625" defaultRowHeight="12.75"/>
  <cols>
    <col min="1" max="1" width="20.28125" style="0" customWidth="1"/>
    <col min="6" max="6" width="10.140625" style="0" bestFit="1" customWidth="1"/>
  </cols>
  <sheetData>
    <row r="1" ht="15">
      <c r="A1" s="20" t="s">
        <v>165</v>
      </c>
    </row>
    <row r="2" spans="1:7" ht="12.75">
      <c r="A2" s="61" t="s">
        <v>281</v>
      </c>
      <c r="B2" s="61"/>
      <c r="C2" s="61"/>
      <c r="D2" s="61"/>
      <c r="E2" s="61"/>
      <c r="F2" s="61"/>
      <c r="G2" s="61"/>
    </row>
    <row r="3" spans="1:8" ht="12.75">
      <c r="A3" s="61" t="s">
        <v>249</v>
      </c>
      <c r="B3" s="94" t="s">
        <v>101</v>
      </c>
      <c r="C3" s="94" t="s">
        <v>49</v>
      </c>
      <c r="D3" s="94" t="s">
        <v>50</v>
      </c>
      <c r="E3" s="94" t="s">
        <v>51</v>
      </c>
      <c r="F3" s="94" t="s">
        <v>52</v>
      </c>
      <c r="G3" s="94" t="s">
        <v>3</v>
      </c>
      <c r="H3" s="34"/>
    </row>
    <row r="4" spans="1:9" ht="12.75">
      <c r="A4" s="61"/>
      <c r="B4" s="71"/>
      <c r="C4" s="71"/>
      <c r="D4" s="71"/>
      <c r="E4" s="71"/>
      <c r="F4" s="71"/>
      <c r="G4" s="71"/>
      <c r="H4" s="1"/>
      <c r="I4" s="1"/>
    </row>
    <row r="5" spans="1:9" ht="12.75">
      <c r="A5" s="61" t="s">
        <v>172</v>
      </c>
      <c r="B5" s="71">
        <f>KULUD!E17</f>
        <v>33482.29933</v>
      </c>
      <c r="C5" s="71">
        <f>KULUD!G17</f>
        <v>67821.140476</v>
      </c>
      <c r="D5" s="71">
        <f>KULUD!I17</f>
        <v>69418.46057</v>
      </c>
      <c r="E5" s="71">
        <f>KULUD!K17</f>
        <v>71786.329104</v>
      </c>
      <c r="F5" s="71">
        <f>KULUD!M17</f>
        <v>73776.19446400001</v>
      </c>
      <c r="G5" s="71">
        <f>SUM(B5:F5)</f>
        <v>316284.42394400004</v>
      </c>
      <c r="H5" s="1"/>
      <c r="I5" s="1"/>
    </row>
    <row r="6" spans="1:9" ht="12.75">
      <c r="A6" s="61" t="s">
        <v>7</v>
      </c>
      <c r="B6" s="71">
        <f>KULUD!E28</f>
        <v>5586.896225932203</v>
      </c>
      <c r="C6" s="71">
        <f>KULUD!G28</f>
        <v>8600.948728474577</v>
      </c>
      <c r="D6" s="71">
        <f>KULUD!I28</f>
        <v>8815.553728474577</v>
      </c>
      <c r="E6" s="71">
        <f>KULUD!K28</f>
        <v>9040.889738474576</v>
      </c>
      <c r="F6" s="71">
        <f>KULUD!M28</f>
        <v>9277.493343974576</v>
      </c>
      <c r="G6" s="71">
        <f>SUM(B6:F6)</f>
        <v>41321.78176533051</v>
      </c>
      <c r="H6" s="1"/>
      <c r="I6" s="1"/>
    </row>
    <row r="7" spans="1:9" ht="12.75">
      <c r="A7" s="95" t="s">
        <v>175</v>
      </c>
      <c r="B7" s="96">
        <f>SUM(B5:B6)</f>
        <v>39069.19555593221</v>
      </c>
      <c r="C7" s="96">
        <f>SUM(C5:C6)</f>
        <v>76422.08920447459</v>
      </c>
      <c r="D7" s="96">
        <f>SUM(D5:D6)</f>
        <v>78234.01429847458</v>
      </c>
      <c r="E7" s="96">
        <f>SUM(E5:E6)</f>
        <v>80827.21884247458</v>
      </c>
      <c r="F7" s="96">
        <f>SUM(F5:F6)</f>
        <v>83053.6878079746</v>
      </c>
      <c r="G7" s="96">
        <f>SUM(B7:F7)</f>
        <v>357606.2057093305</v>
      </c>
      <c r="H7" s="1"/>
      <c r="I7" s="1"/>
    </row>
    <row r="8" spans="1:9" ht="12.75">
      <c r="A8" s="61" t="s">
        <v>173</v>
      </c>
      <c r="B8" s="71">
        <f>KULUD!E33</f>
        <v>2320.7202699999993</v>
      </c>
      <c r="C8" s="71">
        <f>KULUD!G33</f>
        <v>4115.10798</v>
      </c>
      <c r="D8" s="71">
        <f>KULUD!I33</f>
        <v>3379.7503900000006</v>
      </c>
      <c r="E8" s="71">
        <f>KULUD!K33</f>
        <v>2602.07021</v>
      </c>
      <c r="F8" s="71">
        <f>KULUD!M33</f>
        <v>1779.6306600000003</v>
      </c>
      <c r="G8" s="71">
        <f>SUM(B8:F8)</f>
        <v>14197.27951</v>
      </c>
      <c r="H8" s="1"/>
      <c r="I8" s="1"/>
    </row>
    <row r="9" spans="1:9" ht="12.75">
      <c r="A9" s="61" t="s">
        <v>171</v>
      </c>
      <c r="B9" s="71">
        <f>'4.invest'!E9/1000</f>
        <v>27447.204540000002</v>
      </c>
      <c r="C9" s="71">
        <f>'4.invest'!G9/1000</f>
        <v>12776.67377</v>
      </c>
      <c r="D9" s="71">
        <f>'4.invest'!I9/1000</f>
        <v>13512.031250000002</v>
      </c>
      <c r="E9" s="71">
        <f>'4.invest'!K9/1000</f>
        <v>14289.711170000002</v>
      </c>
      <c r="F9" s="71">
        <f>'4.invest'!M9/1000</f>
        <v>15112.150469999999</v>
      </c>
      <c r="G9" s="71">
        <f>SUM(B9:F9)</f>
        <v>83137.77119999999</v>
      </c>
      <c r="H9" s="1"/>
      <c r="I9" s="1"/>
    </row>
    <row r="10" spans="1:9" ht="12.75">
      <c r="A10" s="81" t="s">
        <v>174</v>
      </c>
      <c r="B10" s="74">
        <f aca="true" t="shared" si="0" ref="B10:G10">SUM(B7:B9)</f>
        <v>68837.1203659322</v>
      </c>
      <c r="C10" s="74">
        <f t="shared" si="0"/>
        <v>93313.87095447458</v>
      </c>
      <c r="D10" s="74">
        <f t="shared" si="0"/>
        <v>95125.79593847458</v>
      </c>
      <c r="E10" s="74">
        <f t="shared" si="0"/>
        <v>97719.0002224746</v>
      </c>
      <c r="F10" s="74">
        <f t="shared" si="0"/>
        <v>99945.46893797458</v>
      </c>
      <c r="G10" s="74">
        <f t="shared" si="0"/>
        <v>454941.2564193305</v>
      </c>
      <c r="H10" s="26"/>
      <c r="I10" s="1"/>
    </row>
    <row r="11" spans="1:9" ht="12.75">
      <c r="A11" s="61"/>
      <c r="B11" s="71"/>
      <c r="C11" s="71"/>
      <c r="D11" s="71"/>
      <c r="E11" s="71"/>
      <c r="F11" s="71"/>
      <c r="G11" s="71"/>
      <c r="H11" s="1"/>
      <c r="I11" s="1"/>
    </row>
    <row r="12" spans="2:9" ht="12.75">
      <c r="B12" s="1"/>
      <c r="C12" s="1"/>
      <c r="D12" s="1"/>
      <c r="E12" s="1"/>
      <c r="F12" s="1"/>
      <c r="G12" s="1"/>
      <c r="H12" s="1"/>
      <c r="I12" s="1"/>
    </row>
    <row r="13" spans="2:9" ht="12.75">
      <c r="B13" s="1"/>
      <c r="C13" s="1"/>
      <c r="D13" s="1"/>
      <c r="E13" s="1"/>
      <c r="F13" s="1"/>
      <c r="G13" s="1"/>
      <c r="H13" s="1"/>
      <c r="I13" s="1"/>
    </row>
    <row r="14" spans="1:9" ht="12.75">
      <c r="A14" s="29"/>
      <c r="B14" s="26"/>
      <c r="C14" s="26"/>
      <c r="D14" s="26"/>
      <c r="E14" s="26"/>
      <c r="F14" s="26"/>
      <c r="G14" s="26"/>
      <c r="H14" s="1"/>
      <c r="I14" s="1"/>
    </row>
    <row r="15" spans="1:9" ht="12.75">
      <c r="A15" s="167" t="s">
        <v>250</v>
      </c>
      <c r="B15" s="168" t="s">
        <v>101</v>
      </c>
      <c r="C15" s="168" t="s">
        <v>49</v>
      </c>
      <c r="D15" s="168" t="s">
        <v>50</v>
      </c>
      <c r="E15" s="168" t="s">
        <v>51</v>
      </c>
      <c r="F15" s="168" t="s">
        <v>52</v>
      </c>
      <c r="G15" s="168" t="s">
        <v>3</v>
      </c>
      <c r="H15" s="1"/>
      <c r="I15" s="1"/>
    </row>
    <row r="16" spans="1:9" ht="12.75">
      <c r="A16" s="169"/>
      <c r="B16" s="94"/>
      <c r="C16" s="94"/>
      <c r="D16" s="94"/>
      <c r="E16" s="94"/>
      <c r="F16" s="94"/>
      <c r="G16" s="94"/>
      <c r="H16" s="1"/>
      <c r="I16" s="1"/>
    </row>
    <row r="17" spans="1:9" ht="12.75">
      <c r="A17" s="169" t="s">
        <v>248</v>
      </c>
      <c r="B17" s="170">
        <f>KULUD!E36</f>
        <v>23024.32318385</v>
      </c>
      <c r="C17" s="170">
        <f>KULUD!G36</f>
        <v>3931.040103225416</v>
      </c>
      <c r="D17" s="170">
        <f>KULUD!I36</f>
        <v>4666.472599225424</v>
      </c>
      <c r="E17" s="170">
        <f>KULUD!K36</f>
        <v>5443.948235225413</v>
      </c>
      <c r="F17" s="170">
        <f>KULUD!M36</f>
        <v>6265.918819725412</v>
      </c>
      <c r="G17" s="170">
        <f>SUM(B17:F17)</f>
        <v>43331.702941251664</v>
      </c>
      <c r="H17" s="1"/>
      <c r="I17" s="1"/>
    </row>
    <row r="18" spans="1:9" ht="12.75">
      <c r="A18" s="61" t="s">
        <v>46</v>
      </c>
      <c r="B18" s="170">
        <f>KULUD!E32</f>
        <v>4422.88135615</v>
      </c>
      <c r="C18" s="170">
        <f>KULUD!G32</f>
        <v>8845.7627123</v>
      </c>
      <c r="D18" s="170">
        <f>KULUD!I32</f>
        <v>8845.7627123</v>
      </c>
      <c r="E18" s="170">
        <f>KULUD!K32</f>
        <v>8845.7627123</v>
      </c>
      <c r="F18" s="170">
        <f>KULUD!M32</f>
        <v>8845.7627123</v>
      </c>
      <c r="G18" s="170">
        <f>SUM(B18:F18)</f>
        <v>39805.93220535</v>
      </c>
      <c r="H18" s="1"/>
      <c r="I18" s="1"/>
    </row>
    <row r="19" spans="1:9" ht="12.75">
      <c r="A19" s="61" t="s">
        <v>171</v>
      </c>
      <c r="B19" s="71">
        <f>-B9</f>
        <v>-27447.204540000002</v>
      </c>
      <c r="C19" s="71">
        <f>-C9</f>
        <v>-12776.67377</v>
      </c>
      <c r="D19" s="71">
        <f>-D9</f>
        <v>-13512.031250000002</v>
      </c>
      <c r="E19" s="71">
        <f>-E9</f>
        <v>-14289.711170000002</v>
      </c>
      <c r="F19" s="71">
        <f>-F9</f>
        <v>-15112.150469999999</v>
      </c>
      <c r="G19" s="170">
        <f>SUM(B19:F19)</f>
        <v>-83137.77119999999</v>
      </c>
      <c r="H19" s="1"/>
      <c r="I19" s="1"/>
    </row>
    <row r="20" spans="1:9" ht="12.75">
      <c r="A20" s="81" t="s">
        <v>174</v>
      </c>
      <c r="B20" s="71">
        <f aca="true" t="shared" si="1" ref="B20:G20">SUM(B17:B19)</f>
        <v>0</v>
      </c>
      <c r="C20" s="71">
        <f t="shared" si="1"/>
        <v>0.12904552541658632</v>
      </c>
      <c r="D20" s="71">
        <f t="shared" si="1"/>
        <v>0.20406152542273048</v>
      </c>
      <c r="E20" s="71">
        <f t="shared" si="1"/>
        <v>-0.0002224745894636726</v>
      </c>
      <c r="F20" s="71">
        <f t="shared" si="1"/>
        <v>-0.46893797458687914</v>
      </c>
      <c r="G20" s="71">
        <f t="shared" si="1"/>
        <v>-0.13605339832429308</v>
      </c>
      <c r="H20" s="1"/>
      <c r="I20" s="1"/>
    </row>
    <row r="21" spans="1:9" ht="12.75">
      <c r="A21" s="169"/>
      <c r="B21" s="71"/>
      <c r="C21" s="71"/>
      <c r="D21" s="71"/>
      <c r="E21" s="71"/>
      <c r="F21" s="71"/>
      <c r="G21" s="71"/>
      <c r="H21" s="1"/>
      <c r="I21" s="1"/>
    </row>
    <row r="22" spans="1:9" ht="12.75">
      <c r="A22" s="61"/>
      <c r="B22" s="171">
        <f>KULUD!E5-B20</f>
        <v>68837.1203659322</v>
      </c>
      <c r="C22" s="171">
        <f>KULUD!G5</f>
        <v>93314</v>
      </c>
      <c r="D22" s="171">
        <f>KULUD!I5</f>
        <v>95126</v>
      </c>
      <c r="E22" s="171">
        <f>KULUD!K5</f>
        <v>97719</v>
      </c>
      <c r="F22" s="171">
        <f>KULUD!M5</f>
        <v>99945</v>
      </c>
      <c r="G22" s="171">
        <f>SUM(B22:F22)</f>
        <v>454941.12036593223</v>
      </c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26"/>
      <c r="H24" s="1"/>
      <c r="I24" s="1"/>
    </row>
    <row r="25" spans="1:9" ht="12.75">
      <c r="A25" s="29"/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</sheetData>
  <printOptions/>
  <pageMargins left="0.5905511811023623" right="0.35433070866141736" top="0.984251968503937" bottom="0.984251968503937" header="0.5118110236220472" footer="0.5118110236220472"/>
  <pageSetup horizontalDpi="600" verticalDpi="600" orientation="portrait" paperSize="9" scale="75" r:id="rId3"/>
  <headerFooter alignWithMargins="0">
    <oddHeader>&amp;C&amp;A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C13"/>
    </sheetView>
  </sheetViews>
  <sheetFormatPr defaultColWidth="9.140625" defaultRowHeight="12.75"/>
  <cols>
    <col min="1" max="1" width="7.00390625" style="0" customWidth="1"/>
    <col min="2" max="2" width="32.28125" style="0" customWidth="1"/>
    <col min="3" max="3" width="12.57421875" style="0" customWidth="1"/>
    <col min="4" max="4" width="10.140625" style="0" customWidth="1"/>
    <col min="5" max="5" width="10.140625" style="0" bestFit="1" customWidth="1"/>
    <col min="8" max="8" width="3.7109375" style="0" customWidth="1"/>
  </cols>
  <sheetData>
    <row r="1" spans="1:2" ht="14.25">
      <c r="A1" s="2" t="s">
        <v>210</v>
      </c>
      <c r="B1" s="21"/>
    </row>
    <row r="2" spans="1:3" ht="12.75">
      <c r="A2" s="61" t="s">
        <v>281</v>
      </c>
      <c r="B2" s="61"/>
      <c r="C2" s="61"/>
    </row>
    <row r="3" spans="1:8" ht="12.75">
      <c r="A3" s="61" t="s">
        <v>209</v>
      </c>
      <c r="B3" s="61" t="s">
        <v>214</v>
      </c>
      <c r="C3" s="90" t="s">
        <v>101</v>
      </c>
      <c r="D3" s="1"/>
      <c r="E3" s="1"/>
      <c r="F3" s="1"/>
      <c r="G3" s="14"/>
      <c r="H3" s="1"/>
    </row>
    <row r="4" spans="1:8" ht="12.75">
      <c r="A4" s="61"/>
      <c r="B4" s="61"/>
      <c r="C4" s="90"/>
      <c r="D4" s="1"/>
      <c r="E4" s="1"/>
      <c r="F4" s="1"/>
      <c r="G4" s="14"/>
      <c r="H4" s="1"/>
    </row>
    <row r="5" spans="1:8" ht="12.75">
      <c r="A5" s="61" t="s">
        <v>114</v>
      </c>
      <c r="B5" s="61" t="s">
        <v>202</v>
      </c>
      <c r="C5" s="71">
        <f>E20</f>
        <v>21322034.04</v>
      </c>
      <c r="D5" s="1"/>
      <c r="E5" s="1"/>
      <c r="F5" s="1"/>
      <c r="G5" s="1"/>
      <c r="H5" s="1"/>
    </row>
    <row r="6" spans="1:8" ht="12.75">
      <c r="A6" s="61" t="s">
        <v>114</v>
      </c>
      <c r="B6" s="61" t="s">
        <v>203</v>
      </c>
      <c r="C6" s="71">
        <f>G20</f>
        <v>377400</v>
      </c>
      <c r="D6" s="1"/>
      <c r="E6" s="1"/>
      <c r="F6" s="1"/>
      <c r="G6" s="1"/>
      <c r="H6" s="1"/>
    </row>
    <row r="7" spans="1:8" ht="12.75">
      <c r="A7" s="61"/>
      <c r="B7" s="61" t="s">
        <v>279</v>
      </c>
      <c r="C7" s="71">
        <f>KULUD!E12*1000</f>
        <v>270000</v>
      </c>
      <c r="D7" s="1"/>
      <c r="E7" s="1"/>
      <c r="F7" s="1"/>
      <c r="G7" s="1"/>
      <c r="H7" s="1"/>
    </row>
    <row r="8" spans="1:8" ht="12.75">
      <c r="A8" s="61" t="s">
        <v>207</v>
      </c>
      <c r="B8" s="61" t="s">
        <v>282</v>
      </c>
      <c r="C8" s="91">
        <f>'2.4 auto'!AE11+'2.4 auto'!AF11</f>
        <v>122954.23</v>
      </c>
      <c r="D8" s="1"/>
      <c r="E8" s="1"/>
      <c r="F8" s="1"/>
      <c r="G8" s="1"/>
      <c r="H8" s="1"/>
    </row>
    <row r="9" spans="1:8" ht="12.75">
      <c r="A9" s="61" t="s">
        <v>208</v>
      </c>
      <c r="B9" s="61" t="s">
        <v>206</v>
      </c>
      <c r="C9" s="71">
        <f>'2.8.püsikulud '!D18</f>
        <v>308366.10169491527</v>
      </c>
      <c r="D9" s="1"/>
      <c r="E9" s="1"/>
      <c r="F9" s="1"/>
      <c r="G9" s="1"/>
      <c r="H9" s="1"/>
    </row>
    <row r="10" spans="1:8" ht="12.75">
      <c r="A10" s="77" t="s">
        <v>211</v>
      </c>
      <c r="B10" s="61" t="s">
        <v>212</v>
      </c>
      <c r="C10" s="71">
        <f>SUM('2.6 side-arvut'!B7:B13)</f>
        <v>206100</v>
      </c>
      <c r="D10" s="1"/>
      <c r="E10" s="1"/>
      <c r="F10" s="1"/>
      <c r="G10" s="1"/>
      <c r="H10" s="1"/>
    </row>
    <row r="11" spans="1:8" ht="12.75">
      <c r="A11" s="77" t="s">
        <v>280</v>
      </c>
      <c r="B11" s="92" t="s">
        <v>245</v>
      </c>
      <c r="C11" s="93">
        <f>'2.1 töötasu'!D42</f>
        <v>398567</v>
      </c>
      <c r="D11" s="1"/>
      <c r="E11" s="1"/>
      <c r="F11" s="1"/>
      <c r="G11" s="1"/>
      <c r="H11" s="1"/>
    </row>
    <row r="12" spans="1:8" ht="12.75">
      <c r="A12" s="77"/>
      <c r="B12" s="81" t="s">
        <v>213</v>
      </c>
      <c r="C12" s="74">
        <f>SUM(C5:C11)</f>
        <v>23005421.371694915</v>
      </c>
      <c r="D12" s="1"/>
      <c r="E12" s="1"/>
      <c r="F12" s="1"/>
      <c r="G12" s="1"/>
      <c r="H12" s="1"/>
    </row>
    <row r="13" spans="1:8" ht="12.75">
      <c r="A13" s="77"/>
      <c r="B13" s="61"/>
      <c r="C13" s="71"/>
      <c r="D13" s="1"/>
      <c r="E13" s="1"/>
      <c r="F13" s="1"/>
      <c r="G13" s="1"/>
      <c r="H13" s="1"/>
    </row>
    <row r="14" spans="1:8" ht="12.75">
      <c r="A14" s="45"/>
      <c r="C14" s="1"/>
      <c r="D14" s="1"/>
      <c r="E14" s="1"/>
      <c r="F14" s="1"/>
      <c r="G14" s="1"/>
      <c r="H14" s="1"/>
    </row>
    <row r="15" spans="1:8" ht="12.75" hidden="1">
      <c r="A15" s="31"/>
      <c r="B15" s="31"/>
      <c r="C15" s="27"/>
      <c r="D15" s="31"/>
      <c r="E15" s="31" t="s">
        <v>204</v>
      </c>
      <c r="F15" s="31"/>
      <c r="G15" s="31" t="s">
        <v>205</v>
      </c>
      <c r="H15" s="1"/>
    </row>
    <row r="16" spans="1:8" ht="12.75" hidden="1">
      <c r="A16" s="31">
        <v>7</v>
      </c>
      <c r="B16" s="31" t="s">
        <v>197</v>
      </c>
      <c r="C16" s="28">
        <v>7</v>
      </c>
      <c r="D16" s="32">
        <f>'liigend-uus'!C11</f>
        <v>677966.1</v>
      </c>
      <c r="E16" s="32">
        <f>C16*D16</f>
        <v>4745762.7</v>
      </c>
      <c r="F16" s="32">
        <f>'liigend-uus'!E11</f>
        <v>12000</v>
      </c>
      <c r="G16" s="32">
        <f>C16*F16</f>
        <v>84000</v>
      </c>
      <c r="H16" s="1"/>
    </row>
    <row r="17" spans="1:8" ht="12.75" hidden="1">
      <c r="A17" s="31">
        <v>8</v>
      </c>
      <c r="B17" s="31" t="s">
        <v>103</v>
      </c>
      <c r="C17" s="28">
        <v>8</v>
      </c>
      <c r="D17" s="32">
        <f>'liigend-kasut'!C11</f>
        <v>271186.44</v>
      </c>
      <c r="E17" s="32">
        <f>C17*D17</f>
        <v>2169491.52</v>
      </c>
      <c r="F17" s="32">
        <f>'liigend-kasut'!E11</f>
        <v>4800</v>
      </c>
      <c r="G17" s="32">
        <f>C17*F17</f>
        <v>38400</v>
      </c>
      <c r="H17" s="1"/>
    </row>
    <row r="18" spans="1:8" ht="12.75" hidden="1">
      <c r="A18" s="31">
        <v>19</v>
      </c>
      <c r="B18" s="31" t="s">
        <v>229</v>
      </c>
      <c r="C18" s="28">
        <v>19</v>
      </c>
      <c r="D18" s="32">
        <f>'lühike-uus'!C11</f>
        <v>508474.58</v>
      </c>
      <c r="E18" s="32">
        <f>C18*D18</f>
        <v>9661017.02</v>
      </c>
      <c r="F18" s="32">
        <f>'lühike-uus'!E11</f>
        <v>9000</v>
      </c>
      <c r="G18" s="32">
        <f>C18*F18</f>
        <v>171000</v>
      </c>
      <c r="H18" s="26">
        <v>-2</v>
      </c>
    </row>
    <row r="19" spans="1:8" ht="12.75" hidden="1">
      <c r="A19" s="31">
        <v>20</v>
      </c>
      <c r="B19" s="31" t="s">
        <v>105</v>
      </c>
      <c r="C19" s="28">
        <v>20</v>
      </c>
      <c r="D19" s="32">
        <f>'lühike-kasut'!C11</f>
        <v>237288.14</v>
      </c>
      <c r="E19" s="33">
        <f>C19*D19</f>
        <v>4745762.800000001</v>
      </c>
      <c r="F19" s="32">
        <f>'lühike-kasut'!E11</f>
        <v>4200</v>
      </c>
      <c r="G19" s="33">
        <f>C19*F19</f>
        <v>84000</v>
      </c>
      <c r="H19" s="26">
        <v>-2</v>
      </c>
    </row>
    <row r="20" spans="1:8" ht="12.75" hidden="1">
      <c r="A20" s="31">
        <f>SUM(A16:A19)</f>
        <v>54</v>
      </c>
      <c r="B20" s="31"/>
      <c r="C20" s="28">
        <f>SUM(C16:C19)</f>
        <v>54</v>
      </c>
      <c r="D20" s="32"/>
      <c r="E20" s="32">
        <f>SUM(E16:E19)</f>
        <v>21322034.04</v>
      </c>
      <c r="F20" s="32"/>
      <c r="G20" s="32">
        <f>SUM(G16:G19)</f>
        <v>377400</v>
      </c>
      <c r="H20" s="1"/>
    </row>
    <row r="21" spans="3:8" ht="12.75" hidden="1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</sheetData>
  <printOptions/>
  <pageMargins left="0.85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4">
      <selection activeCell="A1" sqref="A1:D44"/>
    </sheetView>
  </sheetViews>
  <sheetFormatPr defaultColWidth="9.140625" defaultRowHeight="12.75"/>
  <cols>
    <col min="1" max="1" width="25.421875" style="0" customWidth="1"/>
    <col min="4" max="4" width="10.140625" style="0" bestFit="1" customWidth="1"/>
    <col min="9" max="9" width="25.8515625" style="0" customWidth="1"/>
  </cols>
  <sheetData>
    <row r="1" ht="15">
      <c r="A1" s="20" t="s">
        <v>70</v>
      </c>
    </row>
    <row r="2" spans="1:4" ht="12.75">
      <c r="A2" s="61" t="s">
        <v>281</v>
      </c>
      <c r="B2" s="61"/>
      <c r="C2" s="61"/>
      <c r="D2" s="61"/>
    </row>
    <row r="3" spans="1:4" ht="12.75">
      <c r="A3" s="61" t="s">
        <v>55</v>
      </c>
      <c r="B3" s="61" t="s">
        <v>56</v>
      </c>
      <c r="C3" s="61" t="s">
        <v>57</v>
      </c>
      <c r="D3" s="61" t="s">
        <v>58</v>
      </c>
    </row>
    <row r="4" spans="1:4" ht="12.75">
      <c r="A4" s="61"/>
      <c r="B4" s="61"/>
      <c r="C4" s="61"/>
      <c r="D4" s="61"/>
    </row>
    <row r="5" spans="1:4" ht="12.75">
      <c r="A5" s="61" t="s">
        <v>193</v>
      </c>
      <c r="B5" s="61">
        <v>150</v>
      </c>
      <c r="C5" s="71">
        <v>14000</v>
      </c>
      <c r="D5" s="71">
        <f>B5*C5*12</f>
        <v>25200000</v>
      </c>
    </row>
    <row r="6" spans="1:4" ht="12.75">
      <c r="A6" s="61" t="s">
        <v>69</v>
      </c>
      <c r="B6" s="97"/>
      <c r="C6" s="71"/>
      <c r="D6" s="71">
        <f>D5*33.3%</f>
        <v>8391599.999999998</v>
      </c>
    </row>
    <row r="7" spans="1:4" ht="12.75">
      <c r="A7" s="81" t="s">
        <v>62</v>
      </c>
      <c r="B7" s="81">
        <f>SUM(B5:B6)</f>
        <v>150</v>
      </c>
      <c r="C7" s="81"/>
      <c r="D7" s="74">
        <f>SUM(D5:D6)</f>
        <v>33591600</v>
      </c>
    </row>
    <row r="8" spans="1:4" ht="12" customHeight="1">
      <c r="A8" s="61"/>
      <c r="B8" s="61"/>
      <c r="C8" s="71"/>
      <c r="D8" s="71"/>
    </row>
    <row r="9" spans="1:4" ht="12.75">
      <c r="A9" s="98" t="s">
        <v>53</v>
      </c>
      <c r="B9" s="61"/>
      <c r="C9" s="61"/>
      <c r="D9" s="61"/>
    </row>
    <row r="10" spans="1:6" ht="12.75">
      <c r="A10" s="61" t="s">
        <v>54</v>
      </c>
      <c r="B10" s="61">
        <v>8</v>
      </c>
      <c r="C10" s="71">
        <v>12000</v>
      </c>
      <c r="D10" s="71">
        <f>B10*C10*12</f>
        <v>1152000</v>
      </c>
      <c r="E10" s="1"/>
      <c r="F10" s="1"/>
    </row>
    <row r="11" spans="1:6" ht="12.75">
      <c r="A11" s="61" t="s">
        <v>63</v>
      </c>
      <c r="B11" s="61">
        <v>1</v>
      </c>
      <c r="C11" s="71">
        <v>16000</v>
      </c>
      <c r="D11" s="71">
        <f>B11*C11*12</f>
        <v>192000</v>
      </c>
      <c r="F11" s="1"/>
    </row>
    <row r="12" spans="1:6" ht="12.75">
      <c r="A12" s="61" t="s">
        <v>59</v>
      </c>
      <c r="B12" s="61">
        <v>1</v>
      </c>
      <c r="C12" s="71">
        <v>9000</v>
      </c>
      <c r="D12" s="71">
        <f>B12*C12*12</f>
        <v>108000</v>
      </c>
      <c r="E12" s="1"/>
      <c r="F12" s="1"/>
    </row>
    <row r="13" spans="1:6" ht="12.75">
      <c r="A13" s="61" t="s">
        <v>181</v>
      </c>
      <c r="B13" s="61">
        <v>4</v>
      </c>
      <c r="C13" s="71">
        <v>7000</v>
      </c>
      <c r="D13" s="71">
        <f>B13*C13*12</f>
        <v>336000</v>
      </c>
      <c r="E13" s="1"/>
      <c r="F13" s="1"/>
    </row>
    <row r="14" spans="1:6" ht="12.75">
      <c r="A14" s="61" t="s">
        <v>60</v>
      </c>
      <c r="B14" s="61">
        <v>2</v>
      </c>
      <c r="C14" s="71">
        <v>9000</v>
      </c>
      <c r="D14" s="71">
        <f>B14*C14*12</f>
        <v>216000</v>
      </c>
      <c r="E14" s="1"/>
      <c r="F14" s="1"/>
    </row>
    <row r="15" spans="1:6" ht="12.75">
      <c r="A15" s="61" t="s">
        <v>61</v>
      </c>
      <c r="B15" s="61"/>
      <c r="C15" s="71"/>
      <c r="D15" s="71">
        <f>SUM(D10:D14)</f>
        <v>2004000</v>
      </c>
      <c r="E15" s="1"/>
      <c r="F15" s="1"/>
    </row>
    <row r="16" spans="1:6" ht="12.75">
      <c r="A16" s="61" t="s">
        <v>69</v>
      </c>
      <c r="B16" s="97"/>
      <c r="C16" s="71"/>
      <c r="D16" s="71">
        <f>D15*33.3%</f>
        <v>667331.9999999999</v>
      </c>
      <c r="E16" s="1"/>
      <c r="F16" s="1"/>
    </row>
    <row r="17" spans="1:6" ht="12.75">
      <c r="A17" s="81" t="s">
        <v>62</v>
      </c>
      <c r="B17" s="81">
        <f>SUM(B10:B16)</f>
        <v>16</v>
      </c>
      <c r="C17" s="74"/>
      <c r="D17" s="74">
        <f>SUM(D15:D16)</f>
        <v>2671332</v>
      </c>
      <c r="E17" s="1"/>
      <c r="F17" s="1"/>
    </row>
    <row r="18" spans="1:6" ht="12.75">
      <c r="A18" s="61"/>
      <c r="B18" s="61"/>
      <c r="C18" s="71"/>
      <c r="D18" s="71"/>
      <c r="E18" s="1"/>
      <c r="F18" s="1"/>
    </row>
    <row r="19" spans="1:6" ht="12.75">
      <c r="A19" s="99" t="s">
        <v>80</v>
      </c>
      <c r="B19" s="61"/>
      <c r="C19" s="71"/>
      <c r="D19" s="71"/>
      <c r="E19" s="1"/>
      <c r="F19" s="1"/>
    </row>
    <row r="20" spans="1:6" ht="12.75">
      <c r="A20" s="61" t="s">
        <v>64</v>
      </c>
      <c r="B20" s="61">
        <v>1</v>
      </c>
      <c r="C20" s="71">
        <v>35000</v>
      </c>
      <c r="D20" s="71">
        <f aca="true" t="shared" si="0" ref="D20:D27">B20*C20*12</f>
        <v>420000</v>
      </c>
      <c r="E20" s="1"/>
      <c r="F20" s="1"/>
    </row>
    <row r="21" spans="1:6" ht="12.75">
      <c r="A21" s="61" t="s">
        <v>254</v>
      </c>
      <c r="B21" s="61">
        <v>1</v>
      </c>
      <c r="C21" s="71">
        <v>10000</v>
      </c>
      <c r="D21" s="71">
        <f t="shared" si="0"/>
        <v>120000</v>
      </c>
      <c r="E21" s="1"/>
      <c r="F21" s="1"/>
    </row>
    <row r="22" spans="1:6" ht="12.75">
      <c r="A22" s="61" t="s">
        <v>67</v>
      </c>
      <c r="B22" s="61">
        <v>1</v>
      </c>
      <c r="C22" s="71">
        <v>15000</v>
      </c>
      <c r="D22" s="71">
        <f t="shared" si="0"/>
        <v>180000</v>
      </c>
      <c r="E22" s="1"/>
      <c r="F22" s="1"/>
    </row>
    <row r="23" spans="1:6" ht="12.75">
      <c r="A23" s="61" t="s">
        <v>65</v>
      </c>
      <c r="B23" s="61">
        <v>1</v>
      </c>
      <c r="C23" s="71">
        <v>23000</v>
      </c>
      <c r="D23" s="71">
        <f t="shared" si="0"/>
        <v>276000</v>
      </c>
      <c r="E23" s="1"/>
      <c r="F23" s="1"/>
    </row>
    <row r="24" spans="1:6" ht="12.75">
      <c r="A24" s="61" t="s">
        <v>66</v>
      </c>
      <c r="B24" s="61">
        <v>2</v>
      </c>
      <c r="C24" s="71">
        <v>13000</v>
      </c>
      <c r="D24" s="71">
        <f t="shared" si="0"/>
        <v>312000</v>
      </c>
      <c r="E24" s="1"/>
      <c r="F24" s="1"/>
    </row>
    <row r="25" spans="1:6" ht="12.75">
      <c r="A25" s="61" t="s">
        <v>68</v>
      </c>
      <c r="B25" s="61">
        <v>1</v>
      </c>
      <c r="C25" s="71">
        <v>15000</v>
      </c>
      <c r="D25" s="71">
        <f t="shared" si="0"/>
        <v>180000</v>
      </c>
      <c r="E25" s="1"/>
      <c r="F25" s="1"/>
    </row>
    <row r="26" spans="1:6" ht="12.75">
      <c r="A26" s="61" t="s">
        <v>79</v>
      </c>
      <c r="B26" s="61">
        <v>3.5</v>
      </c>
      <c r="C26" s="71">
        <v>10000</v>
      </c>
      <c r="D26" s="71">
        <f t="shared" si="0"/>
        <v>420000</v>
      </c>
      <c r="E26" s="1"/>
      <c r="F26" s="1"/>
    </row>
    <row r="27" spans="1:6" ht="12.75">
      <c r="A27" s="100" t="s">
        <v>255</v>
      </c>
      <c r="B27" s="61">
        <v>5</v>
      </c>
      <c r="C27" s="71">
        <f>6000+(4*4000)</f>
        <v>22000</v>
      </c>
      <c r="D27" s="71">
        <f t="shared" si="0"/>
        <v>1320000</v>
      </c>
      <c r="E27" s="1"/>
      <c r="F27" s="1"/>
    </row>
    <row r="28" spans="1:6" ht="12.75">
      <c r="A28" s="61" t="s">
        <v>61</v>
      </c>
      <c r="B28" s="61"/>
      <c r="C28" s="71"/>
      <c r="D28" s="71">
        <f>SUM(D20:D27)</f>
        <v>3228000</v>
      </c>
      <c r="E28" s="1"/>
      <c r="F28" s="1"/>
    </row>
    <row r="29" spans="1:6" ht="12.75">
      <c r="A29" s="61" t="s">
        <v>69</v>
      </c>
      <c r="B29" s="97"/>
      <c r="C29" s="71"/>
      <c r="D29" s="71">
        <f>D28*33.3%</f>
        <v>1074923.9999999998</v>
      </c>
      <c r="E29" s="1"/>
      <c r="F29" s="1"/>
    </row>
    <row r="30" spans="1:6" ht="12.75">
      <c r="A30" s="81" t="s">
        <v>62</v>
      </c>
      <c r="B30" s="81">
        <f>SUM(B20:B29)</f>
        <v>15.5</v>
      </c>
      <c r="C30" s="74"/>
      <c r="D30" s="74">
        <f>SUM(D28:D29)</f>
        <v>4302924</v>
      </c>
      <c r="E30" s="1"/>
      <c r="F30" s="1"/>
    </row>
    <row r="31" spans="1:6" ht="12.75">
      <c r="A31" s="61"/>
      <c r="B31" s="61"/>
      <c r="C31" s="71"/>
      <c r="D31" s="71"/>
      <c r="E31" s="1"/>
      <c r="F31" s="1"/>
    </row>
    <row r="32" spans="1:6" ht="12.75">
      <c r="A32" s="81" t="s">
        <v>194</v>
      </c>
      <c r="B32" s="81">
        <f>B7+B17+B30</f>
        <v>181.5</v>
      </c>
      <c r="C32" s="71"/>
      <c r="D32" s="74">
        <f>D7+D17+D30</f>
        <v>40565856</v>
      </c>
      <c r="E32" s="1"/>
      <c r="F32" s="1"/>
    </row>
    <row r="33" spans="1:6" ht="12.75">
      <c r="A33" s="81"/>
      <c r="B33" s="81"/>
      <c r="C33" s="71"/>
      <c r="D33" s="74"/>
      <c r="E33" s="1"/>
      <c r="F33" s="1"/>
    </row>
    <row r="34" spans="1:6" ht="12.75">
      <c r="A34" s="61" t="s">
        <v>251</v>
      </c>
      <c r="B34" s="61" t="s">
        <v>272</v>
      </c>
      <c r="C34" s="71" t="s">
        <v>273</v>
      </c>
      <c r="D34" s="71" t="s">
        <v>3</v>
      </c>
      <c r="E34" s="1"/>
      <c r="F34" s="1"/>
    </row>
    <row r="35" spans="1:6" ht="12.75">
      <c r="A35" s="61" t="s">
        <v>271</v>
      </c>
      <c r="B35" s="61">
        <v>3</v>
      </c>
      <c r="C35" s="71">
        <f>C20</f>
        <v>35000</v>
      </c>
      <c r="D35" s="71">
        <f>B35*C35</f>
        <v>105000</v>
      </c>
      <c r="E35" s="1"/>
      <c r="F35" s="1"/>
    </row>
    <row r="36" spans="1:6" ht="12.75">
      <c r="A36" s="61" t="s">
        <v>274</v>
      </c>
      <c r="B36" s="61">
        <v>3</v>
      </c>
      <c r="C36" s="71">
        <f>C23</f>
        <v>23000</v>
      </c>
      <c r="D36" s="71">
        <f>B36*C36</f>
        <v>69000</v>
      </c>
      <c r="E36" s="1"/>
      <c r="F36" s="1"/>
    </row>
    <row r="37" spans="1:6" ht="12.75">
      <c r="A37" s="61" t="s">
        <v>275</v>
      </c>
      <c r="B37" s="61">
        <v>3</v>
      </c>
      <c r="C37" s="71">
        <f>C22</f>
        <v>15000</v>
      </c>
      <c r="D37" s="71">
        <f>B37*C37</f>
        <v>45000</v>
      </c>
      <c r="E37" s="1"/>
      <c r="F37" s="1"/>
    </row>
    <row r="38" spans="1:6" ht="12.75">
      <c r="A38" s="61" t="s">
        <v>276</v>
      </c>
      <c r="B38" s="61">
        <f>2*2</f>
        <v>4</v>
      </c>
      <c r="C38" s="71">
        <f>C10</f>
        <v>12000</v>
      </c>
      <c r="D38" s="71">
        <f>B38*C38</f>
        <v>48000</v>
      </c>
      <c r="E38" s="1"/>
      <c r="F38" s="1"/>
    </row>
    <row r="39" spans="1:6" ht="12.75">
      <c r="A39" s="61" t="s">
        <v>277</v>
      </c>
      <c r="B39" s="61">
        <v>2</v>
      </c>
      <c r="C39" s="71">
        <f>C11</f>
        <v>16000</v>
      </c>
      <c r="D39" s="71">
        <f>B39*C39</f>
        <v>32000</v>
      </c>
      <c r="E39" s="1"/>
      <c r="F39" s="1"/>
    </row>
    <row r="40" spans="1:6" ht="12.75">
      <c r="A40" s="61" t="s">
        <v>61</v>
      </c>
      <c r="B40" s="61"/>
      <c r="C40" s="71"/>
      <c r="D40" s="71">
        <f>SUM(D35:D39)</f>
        <v>299000</v>
      </c>
      <c r="E40" s="1"/>
      <c r="F40" s="1"/>
    </row>
    <row r="41" spans="1:6" ht="12.75">
      <c r="A41" s="61" t="s">
        <v>69</v>
      </c>
      <c r="B41" s="97"/>
      <c r="C41" s="71"/>
      <c r="D41" s="71">
        <f>D40*33.3%</f>
        <v>99566.99999999999</v>
      </c>
      <c r="E41" s="1"/>
      <c r="F41" s="1"/>
    </row>
    <row r="42" spans="1:6" ht="12.75">
      <c r="A42" s="81" t="s">
        <v>62</v>
      </c>
      <c r="B42" s="81"/>
      <c r="C42" s="74"/>
      <c r="D42" s="74">
        <f>SUM(D40:D41)</f>
        <v>398567</v>
      </c>
      <c r="E42" s="1"/>
      <c r="F42" s="1"/>
    </row>
    <row r="43" spans="1:6" ht="12.75">
      <c r="A43" s="61"/>
      <c r="B43" s="61"/>
      <c r="C43" s="71"/>
      <c r="D43" s="71"/>
      <c r="E43" s="1"/>
      <c r="F43" s="1"/>
    </row>
    <row r="44" spans="1:6" ht="12.75">
      <c r="A44" s="61"/>
      <c r="B44" s="61"/>
      <c r="C44" s="71"/>
      <c r="D44" s="71"/>
      <c r="E44" s="1"/>
      <c r="F44" s="1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</sheetData>
  <printOptions/>
  <pageMargins left="0.7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&amp;C&amp;A</oddHeader>
    <oddFooter>&amp;C&amp;F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K17" sqref="K17"/>
    </sheetView>
  </sheetViews>
  <sheetFormatPr defaultColWidth="9.140625" defaultRowHeight="12.75"/>
  <cols>
    <col min="1" max="1" width="16.8515625" style="0" customWidth="1"/>
    <col min="2" max="3" width="10.140625" style="0" customWidth="1"/>
    <col min="4" max="4" width="12.00390625" style="0" customWidth="1"/>
    <col min="5" max="5" width="9.421875" style="0" customWidth="1"/>
    <col min="6" max="6" width="12.00390625" style="0" customWidth="1"/>
    <col min="8" max="8" width="6.57421875" style="0" customWidth="1"/>
    <col min="10" max="10" width="7.140625" style="0" customWidth="1"/>
    <col min="11" max="11" width="8.140625" style="0" customWidth="1"/>
    <col min="12" max="12" width="8.57421875" style="0" customWidth="1"/>
    <col min="13" max="13" width="7.8515625" style="0" customWidth="1"/>
  </cols>
  <sheetData>
    <row r="1" spans="1:8" ht="15">
      <c r="A1" s="20" t="s">
        <v>252</v>
      </c>
      <c r="H1" s="29">
        <v>4</v>
      </c>
    </row>
    <row r="2" spans="1:14" ht="12.75">
      <c r="A2" s="61"/>
      <c r="B2" s="86" t="s">
        <v>225</v>
      </c>
      <c r="C2" s="86"/>
      <c r="D2" s="86"/>
      <c r="E2" s="87" t="s">
        <v>226</v>
      </c>
      <c r="F2" s="87"/>
      <c r="G2" s="87"/>
      <c r="H2" s="87"/>
      <c r="I2" s="87"/>
      <c r="J2" s="87"/>
      <c r="K2" s="87"/>
      <c r="L2" s="87"/>
      <c r="M2" s="87"/>
      <c r="N2" s="87"/>
    </row>
    <row r="3" spans="1:14" s="84" customFormat="1" ht="36">
      <c r="A3" s="65" t="s">
        <v>71</v>
      </c>
      <c r="B3" s="65" t="s">
        <v>73</v>
      </c>
      <c r="C3" s="65" t="s">
        <v>246</v>
      </c>
      <c r="D3" s="65" t="s">
        <v>283</v>
      </c>
      <c r="E3" s="65" t="s">
        <v>246</v>
      </c>
      <c r="F3" s="65" t="s">
        <v>284</v>
      </c>
      <c r="G3" s="65" t="s">
        <v>78</v>
      </c>
      <c r="H3" s="65" t="s">
        <v>182</v>
      </c>
      <c r="I3" s="65" t="s">
        <v>184</v>
      </c>
      <c r="J3" s="65" t="s">
        <v>183</v>
      </c>
      <c r="K3" s="65" t="s">
        <v>227</v>
      </c>
      <c r="L3" s="65" t="s">
        <v>179</v>
      </c>
      <c r="M3" s="65" t="s">
        <v>180</v>
      </c>
      <c r="N3" s="65" t="s">
        <v>228</v>
      </c>
    </row>
    <row r="4" spans="1:14" ht="12.75">
      <c r="A4" s="61" t="s">
        <v>72</v>
      </c>
      <c r="B4" s="61">
        <v>600</v>
      </c>
      <c r="C4" s="77">
        <f>6/1.18</f>
        <v>5.084745762711865</v>
      </c>
      <c r="D4" s="71">
        <f>B4*C4*12</f>
        <v>36610.169491525434</v>
      </c>
      <c r="E4" s="71">
        <f>F4/B4</f>
        <v>35.333333333333336</v>
      </c>
      <c r="F4" s="71">
        <f>SUM(G4:N4)</f>
        <v>21200</v>
      </c>
      <c r="G4" s="71"/>
      <c r="H4" s="71"/>
      <c r="I4" s="71"/>
      <c r="J4" s="71"/>
      <c r="K4" s="88"/>
      <c r="L4" s="71">
        <v>18000</v>
      </c>
      <c r="M4" s="71">
        <v>3200</v>
      </c>
      <c r="N4" s="71"/>
    </row>
    <row r="5" spans="1:14" ht="12.75">
      <c r="A5" s="61" t="s">
        <v>74</v>
      </c>
      <c r="B5" s="61">
        <v>300</v>
      </c>
      <c r="C5" s="77">
        <f>35/1.18</f>
        <v>29.661016949152543</v>
      </c>
      <c r="D5" s="71">
        <f>B5*C5*12</f>
        <v>106779.66101694916</v>
      </c>
      <c r="E5" s="71">
        <f>F5/B5</f>
        <v>1154.6666666666667</v>
      </c>
      <c r="F5" s="71">
        <f>SUM(G5:N5)</f>
        <v>346400</v>
      </c>
      <c r="G5" s="71">
        <f>70*B5*7</f>
        <v>147000</v>
      </c>
      <c r="H5" s="71">
        <f>$H$1*B5*12</f>
        <v>14400</v>
      </c>
      <c r="I5" s="71">
        <v>25000</v>
      </c>
      <c r="J5" s="71"/>
      <c r="K5" s="71">
        <v>160000</v>
      </c>
      <c r="L5" s="71"/>
      <c r="M5" s="71"/>
      <c r="N5" s="71"/>
    </row>
    <row r="6" spans="1:14" ht="12.75">
      <c r="A6" s="61" t="s">
        <v>75</v>
      </c>
      <c r="B6" s="61">
        <v>40</v>
      </c>
      <c r="C6" s="77">
        <f>30/1.18</f>
        <v>25.423728813559322</v>
      </c>
      <c r="D6" s="71">
        <f>B6*C6*12</f>
        <v>12203.389830508475</v>
      </c>
      <c r="E6" s="71">
        <f>F6/B6</f>
        <v>538</v>
      </c>
      <c r="F6" s="71">
        <f>SUM(G6:N6)</f>
        <v>21520</v>
      </c>
      <c r="G6" s="71">
        <f>70*B6*7</f>
        <v>19600</v>
      </c>
      <c r="H6" s="71">
        <f>$H$1*B6*12</f>
        <v>1920</v>
      </c>
      <c r="I6" s="71"/>
      <c r="J6" s="71"/>
      <c r="K6" s="71"/>
      <c r="L6" s="71"/>
      <c r="M6" s="71"/>
      <c r="N6" s="71"/>
    </row>
    <row r="7" spans="1:14" ht="12.75">
      <c r="A7" s="61" t="s">
        <v>77</v>
      </c>
      <c r="B7" s="61">
        <v>50</v>
      </c>
      <c r="C7" s="77">
        <f>70/1.18</f>
        <v>59.32203389830509</v>
      </c>
      <c r="D7" s="71">
        <f>B7*C7*12</f>
        <v>35593.220338983054</v>
      </c>
      <c r="E7" s="71">
        <f>F7/B7</f>
        <v>1109</v>
      </c>
      <c r="F7" s="71">
        <f>SUM(G7:N7)</f>
        <v>55450</v>
      </c>
      <c r="G7" s="71">
        <f>27*B7*7</f>
        <v>9450</v>
      </c>
      <c r="H7" s="71"/>
      <c r="I7" s="71"/>
      <c r="J7" s="71"/>
      <c r="K7" s="71">
        <v>6000</v>
      </c>
      <c r="L7" s="71"/>
      <c r="M7" s="71"/>
      <c r="N7" s="71">
        <v>40000</v>
      </c>
    </row>
    <row r="8" spans="1:14" ht="12.75">
      <c r="A8" s="61" t="s">
        <v>76</v>
      </c>
      <c r="B8" s="61">
        <v>75</v>
      </c>
      <c r="C8" s="77">
        <f>90/1.18</f>
        <v>76.27118644067797</v>
      </c>
      <c r="D8" s="71">
        <f>B8*C8*12</f>
        <v>68644.06779661018</v>
      </c>
      <c r="E8" s="71">
        <f>F8/B8</f>
        <v>1051.4</v>
      </c>
      <c r="F8" s="71">
        <f>SUM(G8:N8)</f>
        <v>78855</v>
      </c>
      <c r="G8" s="71">
        <f>27*B8*7</f>
        <v>14175</v>
      </c>
      <c r="H8" s="71">
        <v>680</v>
      </c>
      <c r="I8" s="71"/>
      <c r="J8" s="71">
        <v>15000</v>
      </c>
      <c r="K8" s="71">
        <v>9000</v>
      </c>
      <c r="L8" s="71"/>
      <c r="M8" s="71"/>
      <c r="N8" s="71">
        <v>40000</v>
      </c>
    </row>
    <row r="9" spans="1:14" ht="15">
      <c r="A9" s="81" t="s">
        <v>3</v>
      </c>
      <c r="B9" s="81">
        <f>SUM(B4:B8)</f>
        <v>1065</v>
      </c>
      <c r="C9" s="81"/>
      <c r="D9" s="74">
        <f>SUM(D4:D8)</f>
        <v>259830.50847457632</v>
      </c>
      <c r="E9" s="74"/>
      <c r="F9" s="89">
        <f aca="true" t="shared" si="0" ref="F9:N9">SUM(F4:F8)</f>
        <v>523425</v>
      </c>
      <c r="G9" s="74">
        <f t="shared" si="0"/>
        <v>190225</v>
      </c>
      <c r="H9" s="74">
        <f t="shared" si="0"/>
        <v>17000</v>
      </c>
      <c r="I9" s="74">
        <f t="shared" si="0"/>
        <v>25000</v>
      </c>
      <c r="J9" s="74">
        <f t="shared" si="0"/>
        <v>15000</v>
      </c>
      <c r="K9" s="74">
        <f t="shared" si="0"/>
        <v>175000</v>
      </c>
      <c r="L9" s="74">
        <f t="shared" si="0"/>
        <v>18000</v>
      </c>
      <c r="M9" s="74">
        <f t="shared" si="0"/>
        <v>3200</v>
      </c>
      <c r="N9" s="74">
        <f t="shared" si="0"/>
        <v>80000</v>
      </c>
    </row>
    <row r="11" spans="1:6" ht="33.75">
      <c r="A11" s="61"/>
      <c r="B11" s="61"/>
      <c r="C11" s="61"/>
      <c r="D11" s="83" t="s">
        <v>288</v>
      </c>
      <c r="E11" s="61"/>
      <c r="F11" s="85" t="s">
        <v>290</v>
      </c>
    </row>
    <row r="12" spans="1:6" ht="12.75">
      <c r="A12" s="61" t="s">
        <v>72</v>
      </c>
      <c r="B12" s="61"/>
      <c r="C12" s="61"/>
      <c r="D12" s="77">
        <f aca="true" t="shared" si="1" ref="D12:D17">D4/12</f>
        <v>3050.8474576271196</v>
      </c>
      <c r="E12" s="77"/>
      <c r="F12" s="77">
        <f aca="true" t="shared" si="2" ref="F12:F17">F4/12</f>
        <v>1766.6666666666667</v>
      </c>
    </row>
    <row r="13" spans="1:6" ht="12.75">
      <c r="A13" s="61" t="s">
        <v>74</v>
      </c>
      <c r="B13" s="61"/>
      <c r="C13" s="61"/>
      <c r="D13" s="77">
        <f t="shared" si="1"/>
        <v>8898.305084745763</v>
      </c>
      <c r="E13" s="61"/>
      <c r="F13" s="77">
        <f t="shared" si="2"/>
        <v>28866.666666666668</v>
      </c>
    </row>
    <row r="14" spans="1:6" ht="12.75">
      <c r="A14" s="61" t="s">
        <v>75</v>
      </c>
      <c r="B14" s="61"/>
      <c r="C14" s="61"/>
      <c r="D14" s="77">
        <f t="shared" si="1"/>
        <v>1016.9491525423729</v>
      </c>
      <c r="E14" s="61"/>
      <c r="F14" s="77">
        <f t="shared" si="2"/>
        <v>1793.3333333333333</v>
      </c>
    </row>
    <row r="15" spans="1:6" ht="12.75">
      <c r="A15" s="61" t="s">
        <v>77</v>
      </c>
      <c r="B15" s="61"/>
      <c r="C15" s="61"/>
      <c r="D15" s="77">
        <f t="shared" si="1"/>
        <v>2966.1016949152545</v>
      </c>
      <c r="E15" s="61"/>
      <c r="F15" s="77">
        <f t="shared" si="2"/>
        <v>4620.833333333333</v>
      </c>
    </row>
    <row r="16" spans="1:6" ht="12.75">
      <c r="A16" s="61" t="s">
        <v>76</v>
      </c>
      <c r="B16" s="61"/>
      <c r="C16" s="61"/>
      <c r="D16" s="77">
        <f t="shared" si="1"/>
        <v>5720.338983050849</v>
      </c>
      <c r="E16" s="61"/>
      <c r="F16" s="77">
        <f t="shared" si="2"/>
        <v>6571.25</v>
      </c>
    </row>
    <row r="17" spans="1:6" ht="12.75">
      <c r="A17" s="81" t="s">
        <v>289</v>
      </c>
      <c r="B17" s="81"/>
      <c r="C17" s="81"/>
      <c r="D17" s="82">
        <f t="shared" si="1"/>
        <v>21652.54237288136</v>
      </c>
      <c r="E17" s="61"/>
      <c r="F17" s="77">
        <f t="shared" si="2"/>
        <v>43618.75</v>
      </c>
    </row>
    <row r="20" spans="4:6" ht="12.75">
      <c r="D20" s="1"/>
      <c r="E20" s="1"/>
      <c r="F20" s="1"/>
    </row>
  </sheetData>
  <printOptions/>
  <pageMargins left="0.34" right="0.18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F73"/>
  <sheetViews>
    <sheetView zoomScale="80" zoomScaleNormal="80" workbookViewId="0" topLeftCell="O54">
      <selection activeCell="U1" sqref="U1:AD72"/>
    </sheetView>
  </sheetViews>
  <sheetFormatPr defaultColWidth="9.140625" defaultRowHeight="12.75"/>
  <cols>
    <col min="1" max="1" width="17.28125" style="0" customWidth="1"/>
    <col min="2" max="2" width="14.140625" style="0" customWidth="1"/>
    <col min="3" max="3" width="12.421875" style="0" customWidth="1"/>
    <col min="7" max="7" width="9.28125" style="0" bestFit="1" customWidth="1"/>
    <col min="8" max="8" width="7.8515625" style="0" customWidth="1"/>
    <col min="9" max="9" width="9.421875" style="0" bestFit="1" customWidth="1"/>
    <col min="10" max="10" width="9.28125" style="0" bestFit="1" customWidth="1"/>
    <col min="11" max="11" width="14.28125" style="0" customWidth="1"/>
    <col min="12" max="12" width="10.140625" style="0" customWidth="1"/>
    <col min="16" max="16" width="9.57421875" style="0" customWidth="1"/>
    <col min="21" max="21" width="16.8515625" style="0" customWidth="1"/>
    <col min="22" max="22" width="10.140625" style="0" customWidth="1"/>
    <col min="26" max="26" width="9.8515625" style="0" bestFit="1" customWidth="1"/>
    <col min="30" max="30" width="7.28125" style="0" customWidth="1"/>
    <col min="31" max="31" width="10.00390625" style="0" customWidth="1"/>
    <col min="32" max="32" width="13.140625" style="0" customWidth="1"/>
  </cols>
  <sheetData>
    <row r="1" spans="1:26" ht="15">
      <c r="A1" s="172" t="s">
        <v>224</v>
      </c>
      <c r="B1" s="61"/>
      <c r="C1" s="61"/>
      <c r="D1" s="61"/>
      <c r="E1" s="61"/>
      <c r="F1" s="61"/>
      <c r="G1" s="61"/>
      <c r="K1" s="81" t="s">
        <v>265</v>
      </c>
      <c r="L1" s="61"/>
      <c r="M1" s="61"/>
      <c r="N1" s="61"/>
      <c r="O1" s="61"/>
      <c r="P1" s="61"/>
      <c r="Q1" s="16"/>
      <c r="R1" s="16"/>
      <c r="S1" s="16"/>
      <c r="T1" s="16"/>
      <c r="U1" s="81" t="s">
        <v>266</v>
      </c>
      <c r="V1" s="61"/>
      <c r="W1" s="61"/>
      <c r="X1" s="61"/>
      <c r="Y1" s="61"/>
      <c r="Z1" s="61"/>
    </row>
    <row r="2" spans="1:26" ht="38.25">
      <c r="A2" s="62" t="s">
        <v>17</v>
      </c>
      <c r="B2" s="63" t="s">
        <v>185</v>
      </c>
      <c r="C2" s="187"/>
      <c r="D2" s="62" t="s">
        <v>27</v>
      </c>
      <c r="E2" s="63" t="s">
        <v>28</v>
      </c>
      <c r="F2" s="61"/>
      <c r="G2" s="61"/>
      <c r="K2" s="62" t="s">
        <v>17</v>
      </c>
      <c r="L2" s="63"/>
      <c r="M2" s="187"/>
      <c r="N2" s="62" t="s">
        <v>27</v>
      </c>
      <c r="O2" s="63" t="s">
        <v>28</v>
      </c>
      <c r="P2" s="61"/>
      <c r="Q2" s="16"/>
      <c r="R2" s="16"/>
      <c r="S2" s="16"/>
      <c r="T2" s="16"/>
      <c r="U2" s="62" t="s">
        <v>17</v>
      </c>
      <c r="V2" s="63"/>
      <c r="W2" s="187"/>
      <c r="X2" s="62" t="s">
        <v>27</v>
      </c>
      <c r="Y2" s="63" t="s">
        <v>28</v>
      </c>
      <c r="Z2" s="61"/>
    </row>
    <row r="3" spans="1:26" ht="12.75">
      <c r="A3" s="62" t="s">
        <v>18</v>
      </c>
      <c r="B3" s="64" t="s">
        <v>186</v>
      </c>
      <c r="C3" s="187"/>
      <c r="D3" s="62" t="s">
        <v>29</v>
      </c>
      <c r="E3" s="63" t="s">
        <v>83</v>
      </c>
      <c r="F3" s="61"/>
      <c r="G3" s="61"/>
      <c r="K3" s="62" t="s">
        <v>18</v>
      </c>
      <c r="L3" s="64" t="s">
        <v>186</v>
      </c>
      <c r="M3" s="187"/>
      <c r="N3" s="62" t="s">
        <v>29</v>
      </c>
      <c r="O3" s="63" t="s">
        <v>83</v>
      </c>
      <c r="P3" s="61"/>
      <c r="Q3" s="16"/>
      <c r="R3" s="16"/>
      <c r="S3" s="16"/>
      <c r="T3" s="16"/>
      <c r="U3" s="62" t="s">
        <v>18</v>
      </c>
      <c r="V3" s="64" t="s">
        <v>186</v>
      </c>
      <c r="W3" s="187"/>
      <c r="X3" s="62" t="s">
        <v>29</v>
      </c>
      <c r="Y3" s="63" t="s">
        <v>83</v>
      </c>
      <c r="Z3" s="61"/>
    </row>
    <row r="4" spans="1:26" ht="51">
      <c r="A4" s="62" t="s">
        <v>20</v>
      </c>
      <c r="B4" s="63" t="s">
        <v>187</v>
      </c>
      <c r="C4" s="187"/>
      <c r="D4" s="62" t="s">
        <v>189</v>
      </c>
      <c r="E4" s="63" t="s">
        <v>190</v>
      </c>
      <c r="F4" s="61"/>
      <c r="G4" s="61"/>
      <c r="K4" s="62" t="s">
        <v>20</v>
      </c>
      <c r="L4" s="63" t="s">
        <v>259</v>
      </c>
      <c r="M4" s="187"/>
      <c r="N4" s="62" t="s">
        <v>189</v>
      </c>
      <c r="O4" s="63" t="s">
        <v>261</v>
      </c>
      <c r="P4" s="61"/>
      <c r="Q4" s="16"/>
      <c r="R4" s="16"/>
      <c r="S4" s="16"/>
      <c r="T4" s="16"/>
      <c r="U4" s="62" t="s">
        <v>20</v>
      </c>
      <c r="V4" s="63" t="s">
        <v>263</v>
      </c>
      <c r="W4" s="187"/>
      <c r="X4" s="62" t="s">
        <v>189</v>
      </c>
      <c r="Y4" s="63" t="s">
        <v>261</v>
      </c>
      <c r="Z4" s="61"/>
    </row>
    <row r="5" spans="1:26" ht="38.25">
      <c r="A5" s="62" t="s">
        <v>22</v>
      </c>
      <c r="B5" s="63">
        <v>228813.56</v>
      </c>
      <c r="C5" s="187"/>
      <c r="D5" s="62" t="s">
        <v>30</v>
      </c>
      <c r="E5" s="63" t="s">
        <v>191</v>
      </c>
      <c r="F5" s="61"/>
      <c r="G5" s="61"/>
      <c r="K5" s="62" t="s">
        <v>22</v>
      </c>
      <c r="L5" s="63">
        <v>211864.41</v>
      </c>
      <c r="M5" s="187"/>
      <c r="N5" s="62" t="s">
        <v>30</v>
      </c>
      <c r="O5" s="63" t="s">
        <v>262</v>
      </c>
      <c r="P5" s="61"/>
      <c r="Q5" s="16"/>
      <c r="R5" s="16"/>
      <c r="S5" s="16"/>
      <c r="T5" s="16"/>
      <c r="U5" s="62" t="s">
        <v>22</v>
      </c>
      <c r="V5" s="63">
        <v>135593.22</v>
      </c>
      <c r="W5" s="187"/>
      <c r="X5" s="62" t="s">
        <v>30</v>
      </c>
      <c r="Y5" s="63" t="s">
        <v>262</v>
      </c>
      <c r="Z5" s="61"/>
    </row>
    <row r="6" spans="1:26" ht="25.5">
      <c r="A6" s="62" t="s">
        <v>24</v>
      </c>
      <c r="B6" s="63" t="s">
        <v>188</v>
      </c>
      <c r="C6" s="187"/>
      <c r="D6" s="62" t="s">
        <v>84</v>
      </c>
      <c r="E6" s="63">
        <v>67500</v>
      </c>
      <c r="F6" s="173">
        <f>E6/B5</f>
        <v>0.29499999912592595</v>
      </c>
      <c r="G6" s="61"/>
      <c r="K6" s="62" t="s">
        <v>24</v>
      </c>
      <c r="L6" s="63" t="s">
        <v>260</v>
      </c>
      <c r="M6" s="187"/>
      <c r="N6" s="62" t="s">
        <v>84</v>
      </c>
      <c r="O6" s="63">
        <v>50000</v>
      </c>
      <c r="P6" s="173">
        <f>O6/L5</f>
        <v>0.23599999641280006</v>
      </c>
      <c r="Q6" s="16"/>
      <c r="R6" s="16"/>
      <c r="S6" s="16"/>
      <c r="T6" s="16"/>
      <c r="U6" s="62" t="s">
        <v>24</v>
      </c>
      <c r="V6" s="63" t="s">
        <v>264</v>
      </c>
      <c r="W6" s="187"/>
      <c r="X6" s="62" t="s">
        <v>84</v>
      </c>
      <c r="Y6" s="63">
        <v>32000</v>
      </c>
      <c r="Z6" s="173">
        <f>Y6/V5</f>
        <v>0.23600000059</v>
      </c>
    </row>
    <row r="7" spans="1:26" ht="12.75">
      <c r="A7" s="62" t="s">
        <v>26</v>
      </c>
      <c r="B7" s="67">
        <v>0.18</v>
      </c>
      <c r="C7" s="187"/>
      <c r="D7" s="187"/>
      <c r="E7" s="187"/>
      <c r="F7" s="61"/>
      <c r="G7" s="61"/>
      <c r="K7" s="62" t="s">
        <v>26</v>
      </c>
      <c r="L7" s="67">
        <v>0.18</v>
      </c>
      <c r="M7" s="187"/>
      <c r="N7" s="187"/>
      <c r="O7" s="187"/>
      <c r="P7" s="61"/>
      <c r="Q7" s="16"/>
      <c r="R7" s="16"/>
      <c r="S7" s="16"/>
      <c r="T7" s="16"/>
      <c r="U7" s="62" t="s">
        <v>26</v>
      </c>
      <c r="V7" s="67">
        <v>0.18</v>
      </c>
      <c r="W7" s="187"/>
      <c r="X7" s="187"/>
      <c r="Y7" s="187"/>
      <c r="Z7" s="61"/>
    </row>
    <row r="8" spans="11:32" ht="15" thickBot="1">
      <c r="K8" s="15"/>
      <c r="L8" s="16"/>
      <c r="N8" s="16"/>
      <c r="O8" s="16"/>
      <c r="P8" s="16"/>
      <c r="Q8" s="16"/>
      <c r="R8" s="16"/>
      <c r="S8" s="16"/>
      <c r="T8" s="16"/>
      <c r="U8" s="61"/>
      <c r="V8" s="61"/>
      <c r="W8" s="61"/>
      <c r="X8" s="61"/>
      <c r="Y8" s="61"/>
      <c r="Z8" s="61"/>
      <c r="AE8" s="21"/>
      <c r="AF8" s="21"/>
    </row>
    <row r="9" spans="11:32" ht="15">
      <c r="K9" s="15"/>
      <c r="L9" s="101">
        <f>L11/L5</f>
        <v>0.19999999056000012</v>
      </c>
      <c r="M9" s="16"/>
      <c r="N9" s="16"/>
      <c r="O9" s="16"/>
      <c r="P9" s="16"/>
      <c r="Q9" s="16"/>
      <c r="R9" s="16"/>
      <c r="S9" s="16"/>
      <c r="T9" s="16"/>
      <c r="U9" s="61"/>
      <c r="V9" s="173">
        <f>V11/V5</f>
        <v>0.19999997049999993</v>
      </c>
      <c r="W9" s="61"/>
      <c r="X9" s="61"/>
      <c r="Y9" s="61"/>
      <c r="Z9" s="61"/>
      <c r="AE9" s="47" t="s">
        <v>267</v>
      </c>
      <c r="AF9" s="48"/>
    </row>
    <row r="10" spans="1:32" ht="15">
      <c r="A10" s="68" t="s">
        <v>31</v>
      </c>
      <c r="B10" s="68" t="s">
        <v>33</v>
      </c>
      <c r="C10" s="68" t="s">
        <v>34</v>
      </c>
      <c r="D10" s="68" t="s">
        <v>35</v>
      </c>
      <c r="E10" s="68" t="s">
        <v>26</v>
      </c>
      <c r="F10" s="68" t="s">
        <v>3</v>
      </c>
      <c r="G10" s="68" t="s">
        <v>33</v>
      </c>
      <c r="H10" s="68" t="s">
        <v>34</v>
      </c>
      <c r="I10" s="68" t="s">
        <v>3</v>
      </c>
      <c r="J10" s="61"/>
      <c r="K10" s="68" t="s">
        <v>31</v>
      </c>
      <c r="L10" s="68" t="s">
        <v>33</v>
      </c>
      <c r="M10" s="68" t="s">
        <v>34</v>
      </c>
      <c r="N10" s="68" t="s">
        <v>35</v>
      </c>
      <c r="O10" s="68" t="s">
        <v>26</v>
      </c>
      <c r="P10" s="68" t="s">
        <v>3</v>
      </c>
      <c r="Q10" s="16"/>
      <c r="R10" s="16"/>
      <c r="S10" s="16"/>
      <c r="T10" s="16"/>
      <c r="U10" s="68" t="s">
        <v>31</v>
      </c>
      <c r="V10" s="68" t="s">
        <v>33</v>
      </c>
      <c r="W10" s="68" t="s">
        <v>34</v>
      </c>
      <c r="X10" s="68" t="s">
        <v>35</v>
      </c>
      <c r="Y10" s="68" t="s">
        <v>26</v>
      </c>
      <c r="Z10" s="68" t="s">
        <v>3</v>
      </c>
      <c r="AE10" s="49" t="s">
        <v>268</v>
      </c>
      <c r="AF10" s="50" t="s">
        <v>269</v>
      </c>
    </row>
    <row r="11" spans="1:32" ht="14.25">
      <c r="A11" s="72">
        <v>40019</v>
      </c>
      <c r="B11" s="70">
        <v>45762.71</v>
      </c>
      <c r="C11" s="70">
        <v>0</v>
      </c>
      <c r="D11" s="70">
        <v>2700</v>
      </c>
      <c r="E11" s="70">
        <v>8237.29</v>
      </c>
      <c r="F11" s="70">
        <v>54000</v>
      </c>
      <c r="G11" s="61"/>
      <c r="H11" s="61"/>
      <c r="I11" s="61"/>
      <c r="J11" s="61"/>
      <c r="K11" s="72">
        <v>40019</v>
      </c>
      <c r="L11" s="175">
        <v>42372.88</v>
      </c>
      <c r="M11" s="64">
        <v>0</v>
      </c>
      <c r="N11" s="175">
        <v>2500</v>
      </c>
      <c r="O11" s="175">
        <v>7627.12</v>
      </c>
      <c r="P11" s="175">
        <v>50000</v>
      </c>
      <c r="Q11" s="16"/>
      <c r="R11" s="16"/>
      <c r="S11" s="16"/>
      <c r="T11" s="16"/>
      <c r="U11" s="72">
        <v>39797</v>
      </c>
      <c r="V11" s="175">
        <v>27118.64</v>
      </c>
      <c r="W11" s="64">
        <v>0</v>
      </c>
      <c r="X11" s="175">
        <v>2500</v>
      </c>
      <c r="Y11" s="175">
        <v>4881.36</v>
      </c>
      <c r="Z11" s="178">
        <v>32000</v>
      </c>
      <c r="AE11" s="58">
        <f>B11+L11+V11</f>
        <v>115254.23</v>
      </c>
      <c r="AF11" s="57">
        <f>D11+N11+X11</f>
        <v>7700</v>
      </c>
    </row>
    <row r="12" spans="1:32" ht="14.25">
      <c r="A12" s="72">
        <v>40050</v>
      </c>
      <c r="B12" s="70">
        <v>1862.2</v>
      </c>
      <c r="C12" s="70">
        <v>855.61</v>
      </c>
      <c r="D12" s="70">
        <v>0</v>
      </c>
      <c r="E12" s="70">
        <v>335.2</v>
      </c>
      <c r="F12" s="70">
        <v>3053.01</v>
      </c>
      <c r="G12" s="61"/>
      <c r="H12" s="61"/>
      <c r="I12" s="61"/>
      <c r="J12" s="61"/>
      <c r="K12" s="72">
        <v>40050</v>
      </c>
      <c r="L12" s="175">
        <v>1885.04</v>
      </c>
      <c r="M12" s="64">
        <v>818.64</v>
      </c>
      <c r="N12" s="64">
        <v>0</v>
      </c>
      <c r="O12" s="64">
        <v>339.31</v>
      </c>
      <c r="P12" s="175">
        <v>3042.99</v>
      </c>
      <c r="Q12" s="16"/>
      <c r="R12" s="16"/>
      <c r="S12" s="16"/>
      <c r="T12" s="16"/>
      <c r="U12" s="72">
        <v>39828</v>
      </c>
      <c r="V12" s="175">
        <v>1206.43</v>
      </c>
      <c r="W12" s="64">
        <v>523.93</v>
      </c>
      <c r="X12" s="64">
        <v>0</v>
      </c>
      <c r="Y12" s="64">
        <v>217.16</v>
      </c>
      <c r="Z12" s="175">
        <v>1947.51</v>
      </c>
      <c r="AE12" s="51"/>
      <c r="AF12" s="52"/>
    </row>
    <row r="13" spans="1:32" ht="14.25">
      <c r="A13" s="72">
        <v>40081</v>
      </c>
      <c r="B13" s="70">
        <v>1869.58</v>
      </c>
      <c r="C13" s="70">
        <v>846.91</v>
      </c>
      <c r="D13" s="70">
        <v>0</v>
      </c>
      <c r="E13" s="70">
        <v>336.52</v>
      </c>
      <c r="F13" s="70">
        <v>3053.01</v>
      </c>
      <c r="G13" s="61"/>
      <c r="H13" s="61"/>
      <c r="I13" s="61"/>
      <c r="J13" s="61"/>
      <c r="K13" s="72">
        <v>40081</v>
      </c>
      <c r="L13" s="175">
        <v>1888.48</v>
      </c>
      <c r="M13" s="64">
        <v>783.42</v>
      </c>
      <c r="N13" s="64">
        <v>0</v>
      </c>
      <c r="O13" s="64">
        <v>339.93</v>
      </c>
      <c r="P13" s="175">
        <v>3011.83</v>
      </c>
      <c r="Q13" s="16"/>
      <c r="R13" s="16"/>
      <c r="S13" s="16"/>
      <c r="T13" s="16"/>
      <c r="U13" s="72">
        <v>39859</v>
      </c>
      <c r="V13" s="175">
        <v>1208.63</v>
      </c>
      <c r="W13" s="64">
        <v>501.39</v>
      </c>
      <c r="X13" s="64">
        <v>0</v>
      </c>
      <c r="Y13" s="64">
        <v>217.55</v>
      </c>
      <c r="Z13" s="175">
        <v>1927.57</v>
      </c>
      <c r="AE13" s="51"/>
      <c r="AF13" s="52"/>
    </row>
    <row r="14" spans="1:32" ht="14.25">
      <c r="A14" s="72">
        <v>40111</v>
      </c>
      <c r="B14" s="70">
        <v>1876.98</v>
      </c>
      <c r="C14" s="70">
        <v>838.17</v>
      </c>
      <c r="D14" s="70">
        <v>0</v>
      </c>
      <c r="E14" s="70">
        <v>337.86</v>
      </c>
      <c r="F14" s="70">
        <v>3053.01</v>
      </c>
      <c r="G14" s="61"/>
      <c r="H14" s="61"/>
      <c r="I14" s="61"/>
      <c r="J14" s="61"/>
      <c r="K14" s="72">
        <v>40111</v>
      </c>
      <c r="L14" s="175">
        <v>1895.96</v>
      </c>
      <c r="M14" s="64">
        <v>774.59</v>
      </c>
      <c r="N14" s="64">
        <v>0</v>
      </c>
      <c r="O14" s="64">
        <v>341.27</v>
      </c>
      <c r="P14" s="175">
        <v>3011.83</v>
      </c>
      <c r="Q14" s="16"/>
      <c r="R14" s="16"/>
      <c r="S14" s="16"/>
      <c r="T14" s="16"/>
      <c r="U14" s="72">
        <v>39887</v>
      </c>
      <c r="V14" s="175">
        <v>1213.41</v>
      </c>
      <c r="W14" s="64">
        <v>495.74</v>
      </c>
      <c r="X14" s="64">
        <v>0</v>
      </c>
      <c r="Y14" s="64">
        <v>218.41</v>
      </c>
      <c r="Z14" s="175">
        <v>1927.57</v>
      </c>
      <c r="AE14" s="51"/>
      <c r="AF14" s="52"/>
    </row>
    <row r="15" spans="1:32" ht="14.25">
      <c r="A15" s="72">
        <v>40142</v>
      </c>
      <c r="B15" s="70">
        <v>1884.42</v>
      </c>
      <c r="C15" s="70">
        <v>829.39</v>
      </c>
      <c r="D15" s="70">
        <v>0</v>
      </c>
      <c r="E15" s="70">
        <v>339.2</v>
      </c>
      <c r="F15" s="70">
        <v>3053.01</v>
      </c>
      <c r="G15" s="61"/>
      <c r="H15" s="61"/>
      <c r="I15" s="81"/>
      <c r="J15" s="61"/>
      <c r="K15" s="72">
        <v>40142</v>
      </c>
      <c r="L15" s="175">
        <v>1903.47</v>
      </c>
      <c r="M15" s="64">
        <v>765.73</v>
      </c>
      <c r="N15" s="64">
        <v>0</v>
      </c>
      <c r="O15" s="64">
        <v>342.62</v>
      </c>
      <c r="P15" s="175">
        <v>3011.83</v>
      </c>
      <c r="Q15" s="16"/>
      <c r="R15" s="16"/>
      <c r="S15" s="16"/>
      <c r="T15" s="16"/>
      <c r="U15" s="72">
        <v>39918</v>
      </c>
      <c r="V15" s="175">
        <v>1218.22</v>
      </c>
      <c r="W15" s="64">
        <v>490.07</v>
      </c>
      <c r="X15" s="64">
        <v>0</v>
      </c>
      <c r="Y15" s="64">
        <v>219.28</v>
      </c>
      <c r="Z15" s="175">
        <v>1927.57</v>
      </c>
      <c r="AE15" s="51"/>
      <c r="AF15" s="52"/>
    </row>
    <row r="16" spans="1:32" ht="15">
      <c r="A16" s="72">
        <v>40172</v>
      </c>
      <c r="B16" s="70">
        <v>1891.88</v>
      </c>
      <c r="C16" s="70">
        <v>820.59</v>
      </c>
      <c r="D16" s="70">
        <v>0</v>
      </c>
      <c r="E16" s="70">
        <v>340.54</v>
      </c>
      <c r="F16" s="70">
        <v>3053.01</v>
      </c>
      <c r="G16" s="71">
        <f>SUM(B11:B16)</f>
        <v>55147.77</v>
      </c>
      <c r="H16" s="71">
        <f>SUM(C11:C16)</f>
        <v>4190.67</v>
      </c>
      <c r="I16" s="74">
        <f>G16+J16+H16</f>
        <v>62038.439999999995</v>
      </c>
      <c r="J16" s="71">
        <f>D11</f>
        <v>2700</v>
      </c>
      <c r="K16" s="72">
        <v>40172</v>
      </c>
      <c r="L16" s="175">
        <v>1911.01</v>
      </c>
      <c r="M16" s="64">
        <v>756.83</v>
      </c>
      <c r="N16" s="64">
        <v>0</v>
      </c>
      <c r="O16" s="64">
        <v>343.98</v>
      </c>
      <c r="P16" s="175">
        <v>3011.83</v>
      </c>
      <c r="Q16" s="5">
        <f>SUM(L11:L16)</f>
        <v>51856.840000000004</v>
      </c>
      <c r="R16" s="5">
        <f>SUM(M11:M16)</f>
        <v>3899.21</v>
      </c>
      <c r="S16" s="19">
        <f>Q16+T16+R16</f>
        <v>58256.05</v>
      </c>
      <c r="T16" s="5">
        <f>N11</f>
        <v>2500</v>
      </c>
      <c r="U16" s="72">
        <v>39948</v>
      </c>
      <c r="V16" s="175">
        <v>1223.05</v>
      </c>
      <c r="W16" s="64">
        <v>484.37</v>
      </c>
      <c r="X16" s="64">
        <v>0</v>
      </c>
      <c r="Y16" s="64">
        <v>220.15</v>
      </c>
      <c r="Z16" s="175">
        <v>1927.57</v>
      </c>
      <c r="AA16" s="5">
        <f>SUM(V11:V16)</f>
        <v>33188.380000000005</v>
      </c>
      <c r="AB16" s="5">
        <f>SUM(W11:W16)</f>
        <v>2495.5</v>
      </c>
      <c r="AC16" s="19">
        <f>AA16+AD16+AB16</f>
        <v>38183.880000000005</v>
      </c>
      <c r="AD16" s="5">
        <f>X11</f>
        <v>2500</v>
      </c>
      <c r="AE16" s="53">
        <f>I16+S16+AC16</f>
        <v>158478.37</v>
      </c>
      <c r="AF16" s="54">
        <f>J16+T16+AD16</f>
        <v>7700</v>
      </c>
    </row>
    <row r="17" spans="1:32" ht="14.25">
      <c r="A17" s="72">
        <v>40203</v>
      </c>
      <c r="B17" s="70">
        <v>1899.38</v>
      </c>
      <c r="C17" s="70">
        <v>811.74</v>
      </c>
      <c r="D17" s="70">
        <v>0</v>
      </c>
      <c r="E17" s="70">
        <v>341.89</v>
      </c>
      <c r="F17" s="70">
        <v>3053.01</v>
      </c>
      <c r="G17" s="71"/>
      <c r="H17" s="71"/>
      <c r="I17" s="81"/>
      <c r="J17" s="61"/>
      <c r="K17" s="72">
        <v>40203</v>
      </c>
      <c r="L17" s="175">
        <v>1918.58</v>
      </c>
      <c r="M17" s="64">
        <v>747.9</v>
      </c>
      <c r="N17" s="64">
        <v>0</v>
      </c>
      <c r="O17" s="64">
        <v>345.34</v>
      </c>
      <c r="P17" s="175">
        <v>3011.83</v>
      </c>
      <c r="Q17" s="16"/>
      <c r="R17" s="16"/>
      <c r="S17" s="16"/>
      <c r="T17" s="16"/>
      <c r="U17" s="72">
        <v>39979</v>
      </c>
      <c r="V17" s="175">
        <v>1227.89</v>
      </c>
      <c r="W17" s="64">
        <v>478.66</v>
      </c>
      <c r="X17" s="64">
        <v>0</v>
      </c>
      <c r="Y17" s="64">
        <v>221.02</v>
      </c>
      <c r="Z17" s="175">
        <v>1927.57</v>
      </c>
      <c r="AE17" s="51"/>
      <c r="AF17" s="52"/>
    </row>
    <row r="18" spans="1:32" ht="14.25">
      <c r="A18" s="72">
        <v>40234</v>
      </c>
      <c r="B18" s="70">
        <v>1906.9</v>
      </c>
      <c r="C18" s="70">
        <v>802.86</v>
      </c>
      <c r="D18" s="70">
        <v>0</v>
      </c>
      <c r="E18" s="70">
        <v>343.24</v>
      </c>
      <c r="F18" s="70">
        <v>3053.01</v>
      </c>
      <c r="G18" s="61"/>
      <c r="H18" s="61"/>
      <c r="I18" s="81"/>
      <c r="J18" s="61"/>
      <c r="K18" s="72">
        <v>40234</v>
      </c>
      <c r="L18" s="175">
        <v>1926.18</v>
      </c>
      <c r="M18" s="64">
        <v>738.93</v>
      </c>
      <c r="N18" s="64">
        <v>0</v>
      </c>
      <c r="O18" s="64">
        <v>346.71</v>
      </c>
      <c r="P18" s="175">
        <v>3011.83</v>
      </c>
      <c r="Q18" s="16"/>
      <c r="R18" s="16"/>
      <c r="S18" s="16"/>
      <c r="T18" s="16"/>
      <c r="U18" s="72">
        <v>40009</v>
      </c>
      <c r="V18" s="175">
        <v>1232.76</v>
      </c>
      <c r="W18" s="64">
        <v>472.92</v>
      </c>
      <c r="X18" s="64">
        <v>0</v>
      </c>
      <c r="Y18" s="64">
        <v>221.9</v>
      </c>
      <c r="Z18" s="175">
        <v>1927.57</v>
      </c>
      <c r="AE18" s="51"/>
      <c r="AF18" s="52"/>
    </row>
    <row r="19" spans="1:32" ht="14.25">
      <c r="A19" s="72">
        <v>40262</v>
      </c>
      <c r="B19" s="70">
        <v>1914.46</v>
      </c>
      <c r="C19" s="70">
        <v>793.95</v>
      </c>
      <c r="D19" s="70">
        <v>0</v>
      </c>
      <c r="E19" s="70">
        <v>344.6</v>
      </c>
      <c r="F19" s="70">
        <v>3053.01</v>
      </c>
      <c r="G19" s="61"/>
      <c r="H19" s="61"/>
      <c r="I19" s="81"/>
      <c r="J19" s="61"/>
      <c r="K19" s="72">
        <v>40262</v>
      </c>
      <c r="L19" s="175">
        <v>1933.81</v>
      </c>
      <c r="M19" s="64">
        <v>729.93</v>
      </c>
      <c r="N19" s="64">
        <v>0</v>
      </c>
      <c r="O19" s="64">
        <v>348.09</v>
      </c>
      <c r="P19" s="175">
        <v>3011.83</v>
      </c>
      <c r="Q19" s="16"/>
      <c r="R19" s="16"/>
      <c r="S19" s="16"/>
      <c r="T19" s="16"/>
      <c r="U19" s="72">
        <v>40040</v>
      </c>
      <c r="V19" s="175">
        <v>1237.64</v>
      </c>
      <c r="W19" s="64">
        <v>467.16</v>
      </c>
      <c r="X19" s="64">
        <v>0</v>
      </c>
      <c r="Y19" s="64">
        <v>222.77</v>
      </c>
      <c r="Z19" s="175">
        <v>1927.57</v>
      </c>
      <c r="AE19" s="51"/>
      <c r="AF19" s="52"/>
    </row>
    <row r="20" spans="1:32" ht="14.25">
      <c r="A20" s="72">
        <v>40293</v>
      </c>
      <c r="B20" s="70">
        <v>1922.04</v>
      </c>
      <c r="C20" s="70">
        <v>785</v>
      </c>
      <c r="D20" s="70">
        <v>0</v>
      </c>
      <c r="E20" s="70">
        <v>345.97</v>
      </c>
      <c r="F20" s="70">
        <v>3053.01</v>
      </c>
      <c r="G20" s="61"/>
      <c r="H20" s="61"/>
      <c r="I20" s="81"/>
      <c r="J20" s="61"/>
      <c r="K20" s="72">
        <v>40293</v>
      </c>
      <c r="L20" s="175">
        <v>1941.47</v>
      </c>
      <c r="M20" s="64">
        <v>720.89</v>
      </c>
      <c r="N20" s="64">
        <v>0</v>
      </c>
      <c r="O20" s="64">
        <v>349.46</v>
      </c>
      <c r="P20" s="175">
        <v>3011.83</v>
      </c>
      <c r="Q20" s="16"/>
      <c r="R20" s="16"/>
      <c r="S20" s="16"/>
      <c r="T20" s="16"/>
      <c r="U20" s="72">
        <v>40071</v>
      </c>
      <c r="V20" s="175">
        <v>1242.54</v>
      </c>
      <c r="W20" s="64">
        <v>461.37</v>
      </c>
      <c r="X20" s="64">
        <v>0</v>
      </c>
      <c r="Y20" s="64">
        <v>223.66</v>
      </c>
      <c r="Z20" s="175">
        <v>1927.57</v>
      </c>
      <c r="AE20" s="51"/>
      <c r="AF20" s="52"/>
    </row>
    <row r="21" spans="1:32" ht="14.25">
      <c r="A21" s="72">
        <v>40323</v>
      </c>
      <c r="B21" s="70">
        <v>1929.65</v>
      </c>
      <c r="C21" s="70">
        <v>776.02</v>
      </c>
      <c r="D21" s="70">
        <v>0</v>
      </c>
      <c r="E21" s="70">
        <v>347.34</v>
      </c>
      <c r="F21" s="70">
        <v>3053.01</v>
      </c>
      <c r="G21" s="61"/>
      <c r="H21" s="61"/>
      <c r="I21" s="81"/>
      <c r="J21" s="61"/>
      <c r="K21" s="72">
        <v>40323</v>
      </c>
      <c r="L21" s="175">
        <v>1949.16</v>
      </c>
      <c r="M21" s="64">
        <v>711.82</v>
      </c>
      <c r="N21" s="64">
        <v>0</v>
      </c>
      <c r="O21" s="64">
        <v>350.85</v>
      </c>
      <c r="P21" s="175">
        <v>3011.83</v>
      </c>
      <c r="Q21" s="16"/>
      <c r="R21" s="16"/>
      <c r="S21" s="16"/>
      <c r="T21" s="16"/>
      <c r="U21" s="72">
        <v>40101</v>
      </c>
      <c r="V21" s="175">
        <v>1247.46</v>
      </c>
      <c r="W21" s="64">
        <v>455.56</v>
      </c>
      <c r="X21" s="64">
        <v>0</v>
      </c>
      <c r="Y21" s="64">
        <v>224.54</v>
      </c>
      <c r="Z21" s="175">
        <v>1927.57</v>
      </c>
      <c r="AE21" s="51"/>
      <c r="AF21" s="52"/>
    </row>
    <row r="22" spans="1:32" ht="14.25">
      <c r="A22" s="72">
        <v>40354</v>
      </c>
      <c r="B22" s="70">
        <v>1937.3</v>
      </c>
      <c r="C22" s="70">
        <v>767</v>
      </c>
      <c r="D22" s="70">
        <v>0</v>
      </c>
      <c r="E22" s="70">
        <v>348.71</v>
      </c>
      <c r="F22" s="70">
        <v>3053.01</v>
      </c>
      <c r="G22" s="61"/>
      <c r="H22" s="61"/>
      <c r="I22" s="81"/>
      <c r="J22" s="61"/>
      <c r="K22" s="72">
        <v>40354</v>
      </c>
      <c r="L22" s="175">
        <v>1956.88</v>
      </c>
      <c r="M22" s="64">
        <v>702.71</v>
      </c>
      <c r="N22" s="64">
        <v>0</v>
      </c>
      <c r="O22" s="64">
        <v>352.24</v>
      </c>
      <c r="P22" s="175">
        <v>3011.83</v>
      </c>
      <c r="Q22" s="16"/>
      <c r="R22" s="16"/>
      <c r="S22" s="16"/>
      <c r="T22" s="16"/>
      <c r="U22" s="72">
        <v>40132</v>
      </c>
      <c r="V22" s="175">
        <v>1252.4</v>
      </c>
      <c r="W22" s="64">
        <v>449.73</v>
      </c>
      <c r="X22" s="64">
        <v>0</v>
      </c>
      <c r="Y22" s="64">
        <v>225.43</v>
      </c>
      <c r="Z22" s="175">
        <v>1927.57</v>
      </c>
      <c r="AE22" s="51"/>
      <c r="AF22" s="52"/>
    </row>
    <row r="23" spans="1:32" ht="14.25">
      <c r="A23" s="72">
        <v>40384</v>
      </c>
      <c r="B23" s="70">
        <v>1944.97</v>
      </c>
      <c r="C23" s="70">
        <v>757.94</v>
      </c>
      <c r="D23" s="70">
        <v>0</v>
      </c>
      <c r="E23" s="70">
        <v>350.09</v>
      </c>
      <c r="F23" s="70">
        <v>3053.01</v>
      </c>
      <c r="G23" s="61"/>
      <c r="H23" s="61"/>
      <c r="I23" s="81"/>
      <c r="J23" s="61"/>
      <c r="K23" s="72">
        <v>40384</v>
      </c>
      <c r="L23" s="175">
        <v>1964.63</v>
      </c>
      <c r="M23" s="64">
        <v>693.56</v>
      </c>
      <c r="N23" s="64">
        <v>0</v>
      </c>
      <c r="O23" s="64">
        <v>353.63</v>
      </c>
      <c r="P23" s="175">
        <v>3011.83</v>
      </c>
      <c r="Q23" s="16"/>
      <c r="R23" s="16"/>
      <c r="S23" s="16"/>
      <c r="T23" s="16"/>
      <c r="U23" s="72">
        <v>40162</v>
      </c>
      <c r="V23" s="175">
        <v>1257.37</v>
      </c>
      <c r="W23" s="64">
        <v>443.88</v>
      </c>
      <c r="X23" s="64">
        <v>0</v>
      </c>
      <c r="Y23" s="64">
        <v>226.33</v>
      </c>
      <c r="Z23" s="175">
        <v>1927.57</v>
      </c>
      <c r="AE23" s="51"/>
      <c r="AF23" s="52"/>
    </row>
    <row r="24" spans="1:32" ht="14.25">
      <c r="A24" s="72">
        <v>40415</v>
      </c>
      <c r="B24" s="70">
        <v>1952.67</v>
      </c>
      <c r="C24" s="70">
        <v>748.85</v>
      </c>
      <c r="D24" s="70">
        <v>0</v>
      </c>
      <c r="E24" s="70">
        <v>351.48</v>
      </c>
      <c r="F24" s="70">
        <v>3053.01</v>
      </c>
      <c r="G24" s="61"/>
      <c r="H24" s="61"/>
      <c r="I24" s="81"/>
      <c r="J24" s="61"/>
      <c r="K24" s="72">
        <v>40415</v>
      </c>
      <c r="L24" s="175">
        <v>1972.42</v>
      </c>
      <c r="M24" s="64">
        <v>684.38</v>
      </c>
      <c r="N24" s="64">
        <v>0</v>
      </c>
      <c r="O24" s="64">
        <v>355.03</v>
      </c>
      <c r="P24" s="175">
        <v>3011.83</v>
      </c>
      <c r="Q24" s="16"/>
      <c r="R24" s="16"/>
      <c r="S24" s="16"/>
      <c r="T24" s="16"/>
      <c r="U24" s="72">
        <v>40193</v>
      </c>
      <c r="V24" s="175">
        <v>1262.35</v>
      </c>
      <c r="W24" s="64">
        <v>438</v>
      </c>
      <c r="X24" s="64">
        <v>0</v>
      </c>
      <c r="Y24" s="64">
        <v>227.22</v>
      </c>
      <c r="Z24" s="175">
        <v>1927.57</v>
      </c>
      <c r="AE24" s="51"/>
      <c r="AF24" s="52"/>
    </row>
    <row r="25" spans="1:32" ht="14.25">
      <c r="A25" s="72">
        <v>40446</v>
      </c>
      <c r="B25" s="70">
        <v>1960.41</v>
      </c>
      <c r="C25" s="70">
        <v>739.73</v>
      </c>
      <c r="D25" s="70">
        <v>0</v>
      </c>
      <c r="E25" s="70">
        <v>352.87</v>
      </c>
      <c r="F25" s="70">
        <v>3053.01</v>
      </c>
      <c r="G25" s="61"/>
      <c r="H25" s="61"/>
      <c r="I25" s="81"/>
      <c r="J25" s="61"/>
      <c r="K25" s="72">
        <v>40446</v>
      </c>
      <c r="L25" s="175">
        <v>1980.23</v>
      </c>
      <c r="M25" s="64">
        <v>675.16</v>
      </c>
      <c r="N25" s="64">
        <v>0</v>
      </c>
      <c r="O25" s="64">
        <v>356.44</v>
      </c>
      <c r="P25" s="175">
        <v>3011.83</v>
      </c>
      <c r="Q25" s="16"/>
      <c r="R25" s="16"/>
      <c r="S25" s="16"/>
      <c r="T25" s="16"/>
      <c r="U25" s="72">
        <v>40224</v>
      </c>
      <c r="V25" s="175">
        <v>1267.35</v>
      </c>
      <c r="W25" s="64">
        <v>432.1</v>
      </c>
      <c r="X25" s="64">
        <v>0</v>
      </c>
      <c r="Y25" s="64">
        <v>228.12</v>
      </c>
      <c r="Z25" s="175">
        <v>1927.57</v>
      </c>
      <c r="AE25" s="51"/>
      <c r="AF25" s="52"/>
    </row>
    <row r="26" spans="1:32" ht="14.25">
      <c r="A26" s="72">
        <v>40476</v>
      </c>
      <c r="B26" s="70">
        <v>1968.17</v>
      </c>
      <c r="C26" s="70">
        <v>730.56</v>
      </c>
      <c r="D26" s="70">
        <v>0</v>
      </c>
      <c r="E26" s="70">
        <v>354.27</v>
      </c>
      <c r="F26" s="70">
        <v>3053.01</v>
      </c>
      <c r="G26" s="61"/>
      <c r="H26" s="61"/>
      <c r="I26" s="81"/>
      <c r="J26" s="61"/>
      <c r="K26" s="72">
        <v>40476</v>
      </c>
      <c r="L26" s="175">
        <v>1988.07</v>
      </c>
      <c r="M26" s="64">
        <v>665.9</v>
      </c>
      <c r="N26" s="64">
        <v>0</v>
      </c>
      <c r="O26" s="64">
        <v>357.85</v>
      </c>
      <c r="P26" s="175">
        <v>3011.83</v>
      </c>
      <c r="Q26" s="16"/>
      <c r="R26" s="16"/>
      <c r="S26" s="16"/>
      <c r="T26" s="16"/>
      <c r="U26" s="72">
        <v>40252</v>
      </c>
      <c r="V26" s="175">
        <v>1272.37</v>
      </c>
      <c r="W26" s="64">
        <v>426.18</v>
      </c>
      <c r="X26" s="64">
        <v>0</v>
      </c>
      <c r="Y26" s="64">
        <v>229.03</v>
      </c>
      <c r="Z26" s="175">
        <v>1927.57</v>
      </c>
      <c r="AE26" s="51"/>
      <c r="AF26" s="52"/>
    </row>
    <row r="27" spans="1:32" ht="14.25">
      <c r="A27" s="72">
        <v>40507</v>
      </c>
      <c r="B27" s="70">
        <v>1975.97</v>
      </c>
      <c r="C27" s="70">
        <v>721.36</v>
      </c>
      <c r="D27" s="70">
        <v>0</v>
      </c>
      <c r="E27" s="70">
        <v>355.67</v>
      </c>
      <c r="F27" s="70">
        <v>3053.01</v>
      </c>
      <c r="G27" s="61"/>
      <c r="H27" s="61"/>
      <c r="I27" s="81"/>
      <c r="J27" s="61"/>
      <c r="K27" s="72">
        <v>40507</v>
      </c>
      <c r="L27" s="175">
        <v>1995.95</v>
      </c>
      <c r="M27" s="64">
        <v>656.61</v>
      </c>
      <c r="N27" s="64">
        <v>0</v>
      </c>
      <c r="O27" s="64">
        <v>359.27</v>
      </c>
      <c r="P27" s="175">
        <v>3011.83</v>
      </c>
      <c r="Q27" s="16"/>
      <c r="R27" s="16"/>
      <c r="S27" s="16"/>
      <c r="T27" s="16"/>
      <c r="U27" s="72">
        <v>40283</v>
      </c>
      <c r="V27" s="175">
        <v>1277.41</v>
      </c>
      <c r="W27" s="64">
        <v>420.23</v>
      </c>
      <c r="X27" s="64">
        <v>0</v>
      </c>
      <c r="Y27" s="64">
        <v>229.93</v>
      </c>
      <c r="Z27" s="175">
        <v>1927.57</v>
      </c>
      <c r="AE27" s="51"/>
      <c r="AF27" s="52"/>
    </row>
    <row r="28" spans="1:32" ht="15">
      <c r="A28" s="72">
        <v>40537</v>
      </c>
      <c r="B28" s="70">
        <v>1983.8</v>
      </c>
      <c r="C28" s="70">
        <v>712.13</v>
      </c>
      <c r="D28" s="70">
        <v>0</v>
      </c>
      <c r="E28" s="70">
        <v>357.08</v>
      </c>
      <c r="F28" s="70">
        <v>3053.01</v>
      </c>
      <c r="G28" s="71">
        <f>SUM(B17:B28)</f>
        <v>23295.719999999998</v>
      </c>
      <c r="H28" s="71">
        <f>SUM(C17:C28)</f>
        <v>9147.14</v>
      </c>
      <c r="I28" s="74">
        <f>SUM(G28:H28)</f>
        <v>32442.859999999997</v>
      </c>
      <c r="J28" s="61"/>
      <c r="K28" s="72">
        <v>40537</v>
      </c>
      <c r="L28" s="175">
        <v>2003.85</v>
      </c>
      <c r="M28" s="64">
        <v>647.28</v>
      </c>
      <c r="N28" s="64">
        <v>0</v>
      </c>
      <c r="O28" s="64">
        <v>360.69</v>
      </c>
      <c r="P28" s="175">
        <v>3011.83</v>
      </c>
      <c r="Q28" s="5">
        <f>SUM(L17:L28)</f>
        <v>23531.230000000003</v>
      </c>
      <c r="R28" s="5">
        <f>SUM(M17:M28)</f>
        <v>8375.07</v>
      </c>
      <c r="S28" s="19">
        <f>SUM(Q28:R28)</f>
        <v>31906.300000000003</v>
      </c>
      <c r="T28" s="12"/>
      <c r="U28" s="72">
        <v>40313</v>
      </c>
      <c r="V28" s="175">
        <v>1282.47</v>
      </c>
      <c r="W28" s="64">
        <v>414.26</v>
      </c>
      <c r="X28" s="64">
        <v>0</v>
      </c>
      <c r="Y28" s="64">
        <v>230.84</v>
      </c>
      <c r="Z28" s="175">
        <v>1927.57</v>
      </c>
      <c r="AA28" s="5">
        <f>SUM(V17:V28)</f>
        <v>15060.01</v>
      </c>
      <c r="AB28" s="5">
        <f>SUM(W17:W28)</f>
        <v>5360.050000000001</v>
      </c>
      <c r="AC28" s="19">
        <f>SUM(AA28:AB28)</f>
        <v>20420.06</v>
      </c>
      <c r="AD28" s="12"/>
      <c r="AE28" s="53">
        <f>I28+S28+AC28</f>
        <v>84769.22</v>
      </c>
      <c r="AF28" s="52"/>
    </row>
    <row r="29" spans="1:32" ht="14.25">
      <c r="A29" s="72">
        <v>40568</v>
      </c>
      <c r="B29" s="70">
        <v>1991.66</v>
      </c>
      <c r="C29" s="70">
        <v>702.85</v>
      </c>
      <c r="D29" s="70">
        <v>0</v>
      </c>
      <c r="E29" s="70">
        <v>358.5</v>
      </c>
      <c r="F29" s="70">
        <v>3053.01</v>
      </c>
      <c r="G29" s="71"/>
      <c r="H29" s="61"/>
      <c r="I29" s="81"/>
      <c r="J29" s="61"/>
      <c r="K29" s="72">
        <v>40568</v>
      </c>
      <c r="L29" s="175">
        <v>2011.79</v>
      </c>
      <c r="M29" s="64">
        <v>637.91</v>
      </c>
      <c r="N29" s="64">
        <v>0</v>
      </c>
      <c r="O29" s="64">
        <v>362.12</v>
      </c>
      <c r="P29" s="175">
        <v>3011.83</v>
      </c>
      <c r="Q29" s="16"/>
      <c r="R29" s="16"/>
      <c r="S29" s="16"/>
      <c r="T29" s="16"/>
      <c r="U29" s="72">
        <v>40344</v>
      </c>
      <c r="V29" s="175">
        <v>1287.55</v>
      </c>
      <c r="W29" s="64">
        <v>408.26</v>
      </c>
      <c r="X29" s="64">
        <v>0</v>
      </c>
      <c r="Y29" s="64">
        <v>231.76</v>
      </c>
      <c r="Z29" s="175">
        <v>1927.57</v>
      </c>
      <c r="AE29" s="51"/>
      <c r="AF29" s="52"/>
    </row>
    <row r="30" spans="1:32" ht="14.25">
      <c r="A30" s="72">
        <v>40599</v>
      </c>
      <c r="B30" s="70">
        <v>1999.55</v>
      </c>
      <c r="C30" s="70">
        <v>693.55</v>
      </c>
      <c r="D30" s="70">
        <v>0</v>
      </c>
      <c r="E30" s="70">
        <v>359.92</v>
      </c>
      <c r="F30" s="70">
        <v>3053.01</v>
      </c>
      <c r="G30" s="61"/>
      <c r="H30" s="61"/>
      <c r="I30" s="81"/>
      <c r="J30" s="61"/>
      <c r="K30" s="72">
        <v>40599</v>
      </c>
      <c r="L30" s="175">
        <v>2019.76</v>
      </c>
      <c r="M30" s="64">
        <v>628.51</v>
      </c>
      <c r="N30" s="64">
        <v>0</v>
      </c>
      <c r="O30" s="64">
        <v>363.56</v>
      </c>
      <c r="P30" s="175">
        <v>3011.83</v>
      </c>
      <c r="Q30" s="16"/>
      <c r="R30" s="16"/>
      <c r="S30" s="16"/>
      <c r="T30" s="16"/>
      <c r="U30" s="72">
        <v>40374</v>
      </c>
      <c r="V30" s="175">
        <v>1292.65</v>
      </c>
      <c r="W30" s="64">
        <v>402.25</v>
      </c>
      <c r="X30" s="64">
        <v>0</v>
      </c>
      <c r="Y30" s="64">
        <v>232.68</v>
      </c>
      <c r="Z30" s="175">
        <v>1927.57</v>
      </c>
      <c r="AE30" s="51"/>
      <c r="AF30" s="52"/>
    </row>
    <row r="31" spans="1:32" ht="14.25">
      <c r="A31" s="72">
        <v>40627</v>
      </c>
      <c r="B31" s="70">
        <v>2007.47</v>
      </c>
      <c r="C31" s="70">
        <v>684.2</v>
      </c>
      <c r="D31" s="70">
        <v>0</v>
      </c>
      <c r="E31" s="70">
        <v>361.34</v>
      </c>
      <c r="F31" s="70">
        <v>3053.01</v>
      </c>
      <c r="G31" s="61"/>
      <c r="H31" s="61"/>
      <c r="I31" s="81"/>
      <c r="J31" s="61"/>
      <c r="K31" s="72">
        <v>40627</v>
      </c>
      <c r="L31" s="175">
        <v>2027.76</v>
      </c>
      <c r="M31" s="64">
        <v>619.07</v>
      </c>
      <c r="N31" s="64">
        <v>0</v>
      </c>
      <c r="O31" s="64">
        <v>365</v>
      </c>
      <c r="P31" s="175">
        <v>3011.83</v>
      </c>
      <c r="Q31" s="16"/>
      <c r="R31" s="16"/>
      <c r="S31" s="16"/>
      <c r="T31" s="16"/>
      <c r="U31" s="72">
        <v>40405</v>
      </c>
      <c r="V31" s="175">
        <v>1297.77</v>
      </c>
      <c r="W31" s="64">
        <v>396.2</v>
      </c>
      <c r="X31" s="64">
        <v>0</v>
      </c>
      <c r="Y31" s="64">
        <v>233.6</v>
      </c>
      <c r="Z31" s="175">
        <v>1927.57</v>
      </c>
      <c r="AE31" s="51"/>
      <c r="AF31" s="52"/>
    </row>
    <row r="32" spans="1:32" ht="14.25">
      <c r="A32" s="72">
        <v>40658</v>
      </c>
      <c r="B32" s="70">
        <v>2015.42</v>
      </c>
      <c r="C32" s="70">
        <v>674.82</v>
      </c>
      <c r="D32" s="70">
        <v>0</v>
      </c>
      <c r="E32" s="70">
        <v>362.78</v>
      </c>
      <c r="F32" s="70">
        <v>3053.01</v>
      </c>
      <c r="G32" s="61"/>
      <c r="H32" s="61"/>
      <c r="I32" s="81"/>
      <c r="J32" s="61"/>
      <c r="K32" s="72">
        <v>40658</v>
      </c>
      <c r="L32" s="175">
        <v>2035.79</v>
      </c>
      <c r="M32" s="64">
        <v>609.59</v>
      </c>
      <c r="N32" s="64">
        <v>0</v>
      </c>
      <c r="O32" s="64">
        <v>366.44</v>
      </c>
      <c r="P32" s="175">
        <v>3011.83</v>
      </c>
      <c r="Q32" s="16"/>
      <c r="R32" s="16"/>
      <c r="S32" s="16"/>
      <c r="T32" s="16"/>
      <c r="U32" s="72">
        <v>40436</v>
      </c>
      <c r="V32" s="175">
        <v>1302.91</v>
      </c>
      <c r="W32" s="64">
        <v>390.14</v>
      </c>
      <c r="X32" s="64">
        <v>0</v>
      </c>
      <c r="Y32" s="64">
        <v>234.52</v>
      </c>
      <c r="Z32" s="175">
        <v>1927.57</v>
      </c>
      <c r="AE32" s="51"/>
      <c r="AF32" s="52"/>
    </row>
    <row r="33" spans="1:32" ht="14.25">
      <c r="A33" s="72">
        <v>40688</v>
      </c>
      <c r="B33" s="70">
        <v>2023.4</v>
      </c>
      <c r="C33" s="70">
        <v>665.4</v>
      </c>
      <c r="D33" s="70">
        <v>0</v>
      </c>
      <c r="E33" s="70">
        <v>364.21</v>
      </c>
      <c r="F33" s="70">
        <v>3053.01</v>
      </c>
      <c r="G33" s="61"/>
      <c r="H33" s="61"/>
      <c r="I33" s="81"/>
      <c r="J33" s="61"/>
      <c r="K33" s="72">
        <v>40688</v>
      </c>
      <c r="L33" s="175">
        <v>2043.86</v>
      </c>
      <c r="M33" s="64">
        <v>600.08</v>
      </c>
      <c r="N33" s="64">
        <v>0</v>
      </c>
      <c r="O33" s="64">
        <v>367.89</v>
      </c>
      <c r="P33" s="175">
        <v>3011.83</v>
      </c>
      <c r="Q33" s="16"/>
      <c r="R33" s="16"/>
      <c r="S33" s="16"/>
      <c r="T33" s="16"/>
      <c r="U33" s="72">
        <v>40466</v>
      </c>
      <c r="V33" s="175">
        <v>1308.07</v>
      </c>
      <c r="W33" s="64">
        <v>384.05</v>
      </c>
      <c r="X33" s="64">
        <v>0</v>
      </c>
      <c r="Y33" s="64">
        <v>235.45</v>
      </c>
      <c r="Z33" s="175">
        <v>1927.57</v>
      </c>
      <c r="AE33" s="51"/>
      <c r="AF33" s="52"/>
    </row>
    <row r="34" spans="1:32" ht="14.25">
      <c r="A34" s="72">
        <v>40719</v>
      </c>
      <c r="B34" s="70">
        <v>2031.42</v>
      </c>
      <c r="C34" s="70">
        <v>655.94</v>
      </c>
      <c r="D34" s="70">
        <v>0</v>
      </c>
      <c r="E34" s="70">
        <v>365.65</v>
      </c>
      <c r="F34" s="70">
        <v>3053.01</v>
      </c>
      <c r="G34" s="61"/>
      <c r="H34" s="61"/>
      <c r="I34" s="81"/>
      <c r="J34" s="61"/>
      <c r="K34" s="72">
        <v>40719</v>
      </c>
      <c r="L34" s="175">
        <v>2051.95</v>
      </c>
      <c r="M34" s="64">
        <v>590.52</v>
      </c>
      <c r="N34" s="64">
        <v>0</v>
      </c>
      <c r="O34" s="64">
        <v>369.35</v>
      </c>
      <c r="P34" s="175">
        <v>3011.83</v>
      </c>
      <c r="Q34" s="16"/>
      <c r="R34" s="16"/>
      <c r="S34" s="16"/>
      <c r="T34" s="16"/>
      <c r="U34" s="72">
        <v>40497</v>
      </c>
      <c r="V34" s="175">
        <v>1313.25</v>
      </c>
      <c r="W34" s="64">
        <v>377.93</v>
      </c>
      <c r="X34" s="64">
        <v>0</v>
      </c>
      <c r="Y34" s="64">
        <v>236.39</v>
      </c>
      <c r="Z34" s="175">
        <v>1927.57</v>
      </c>
      <c r="AE34" s="51"/>
      <c r="AF34" s="52"/>
    </row>
    <row r="35" spans="1:32" ht="14.25">
      <c r="A35" s="72">
        <v>40749</v>
      </c>
      <c r="B35" s="70">
        <v>2039.46</v>
      </c>
      <c r="C35" s="70">
        <v>646.44</v>
      </c>
      <c r="D35" s="70">
        <v>0</v>
      </c>
      <c r="E35" s="70">
        <v>367.1</v>
      </c>
      <c r="F35" s="70">
        <v>3053.01</v>
      </c>
      <c r="G35" s="61"/>
      <c r="H35" s="61"/>
      <c r="I35" s="81"/>
      <c r="J35" s="61"/>
      <c r="K35" s="72">
        <v>40749</v>
      </c>
      <c r="L35" s="175">
        <v>2060.08</v>
      </c>
      <c r="M35" s="64">
        <v>580.93</v>
      </c>
      <c r="N35" s="64">
        <v>0</v>
      </c>
      <c r="O35" s="64">
        <v>370.81</v>
      </c>
      <c r="P35" s="175">
        <v>3011.83</v>
      </c>
      <c r="Q35" s="16"/>
      <c r="R35" s="16"/>
      <c r="S35" s="16"/>
      <c r="T35" s="16"/>
      <c r="U35" s="72">
        <v>40527</v>
      </c>
      <c r="V35" s="175">
        <v>1318.45</v>
      </c>
      <c r="W35" s="64">
        <v>371.8</v>
      </c>
      <c r="X35" s="64">
        <v>0</v>
      </c>
      <c r="Y35" s="64">
        <v>237.32</v>
      </c>
      <c r="Z35" s="175">
        <v>1927.57</v>
      </c>
      <c r="AE35" s="51"/>
      <c r="AF35" s="52"/>
    </row>
    <row r="36" spans="1:32" ht="14.25">
      <c r="A36" s="72">
        <v>40780</v>
      </c>
      <c r="B36" s="70">
        <v>2047.54</v>
      </c>
      <c r="C36" s="70">
        <v>636.91</v>
      </c>
      <c r="D36" s="70">
        <v>0</v>
      </c>
      <c r="E36" s="70">
        <v>368.56</v>
      </c>
      <c r="F36" s="70">
        <v>3053.01</v>
      </c>
      <c r="G36" s="61"/>
      <c r="H36" s="61"/>
      <c r="I36" s="81"/>
      <c r="J36" s="61"/>
      <c r="K36" s="72">
        <v>40780</v>
      </c>
      <c r="L36" s="175">
        <v>2068.24</v>
      </c>
      <c r="M36" s="64">
        <v>571.3</v>
      </c>
      <c r="N36" s="64">
        <v>0</v>
      </c>
      <c r="O36" s="64">
        <v>372.28</v>
      </c>
      <c r="P36" s="175">
        <v>3011.83</v>
      </c>
      <c r="Q36" s="16"/>
      <c r="R36" s="16"/>
      <c r="S36" s="16"/>
      <c r="T36" s="16"/>
      <c r="U36" s="72">
        <v>40558</v>
      </c>
      <c r="V36" s="175">
        <v>1323.67</v>
      </c>
      <c r="W36" s="64">
        <v>365.63</v>
      </c>
      <c r="X36" s="64">
        <v>0</v>
      </c>
      <c r="Y36" s="64">
        <v>238.26</v>
      </c>
      <c r="Z36" s="175">
        <v>1927.57</v>
      </c>
      <c r="AE36" s="51"/>
      <c r="AF36" s="52"/>
    </row>
    <row r="37" spans="1:32" ht="14.25">
      <c r="A37" s="72">
        <v>40811</v>
      </c>
      <c r="B37" s="70">
        <v>2055.65</v>
      </c>
      <c r="C37" s="70">
        <v>627.34</v>
      </c>
      <c r="D37" s="70">
        <v>0</v>
      </c>
      <c r="E37" s="70">
        <v>370.02</v>
      </c>
      <c r="F37" s="70">
        <v>3053.01</v>
      </c>
      <c r="G37" s="61"/>
      <c r="H37" s="61"/>
      <c r="I37" s="81"/>
      <c r="J37" s="61"/>
      <c r="K37" s="72">
        <v>40811</v>
      </c>
      <c r="L37" s="175">
        <v>2076.43</v>
      </c>
      <c r="M37" s="64">
        <v>561.63</v>
      </c>
      <c r="N37" s="64">
        <v>0</v>
      </c>
      <c r="O37" s="64">
        <v>373.76</v>
      </c>
      <c r="P37" s="175">
        <v>3011.83</v>
      </c>
      <c r="Q37" s="16"/>
      <c r="R37" s="16"/>
      <c r="S37" s="16"/>
      <c r="T37" s="16"/>
      <c r="U37" s="72">
        <v>40589</v>
      </c>
      <c r="V37" s="175">
        <v>1328.92</v>
      </c>
      <c r="W37" s="64">
        <v>359.45</v>
      </c>
      <c r="X37" s="64">
        <v>0</v>
      </c>
      <c r="Y37" s="64">
        <v>239.21</v>
      </c>
      <c r="Z37" s="175">
        <v>1927.57</v>
      </c>
      <c r="AE37" s="51"/>
      <c r="AF37" s="52"/>
    </row>
    <row r="38" spans="1:32" ht="14.25">
      <c r="A38" s="72">
        <v>40841</v>
      </c>
      <c r="B38" s="70">
        <v>2063.8</v>
      </c>
      <c r="C38" s="70">
        <v>617.73</v>
      </c>
      <c r="D38" s="70">
        <v>0</v>
      </c>
      <c r="E38" s="70">
        <v>371.48</v>
      </c>
      <c r="F38" s="70">
        <v>3053.01</v>
      </c>
      <c r="G38" s="61"/>
      <c r="H38" s="61"/>
      <c r="I38" s="81"/>
      <c r="J38" s="61"/>
      <c r="K38" s="72">
        <v>40841</v>
      </c>
      <c r="L38" s="175">
        <v>2084.66</v>
      </c>
      <c r="M38" s="64">
        <v>551.93</v>
      </c>
      <c r="N38" s="64">
        <v>0</v>
      </c>
      <c r="O38" s="64">
        <v>375.24</v>
      </c>
      <c r="P38" s="175">
        <v>3011.83</v>
      </c>
      <c r="Q38" s="16"/>
      <c r="R38" s="16"/>
      <c r="S38" s="16"/>
      <c r="T38" s="16"/>
      <c r="U38" s="72">
        <v>40617</v>
      </c>
      <c r="V38" s="175">
        <v>1334.18</v>
      </c>
      <c r="W38" s="64">
        <v>353.23</v>
      </c>
      <c r="X38" s="64">
        <v>0</v>
      </c>
      <c r="Y38" s="64">
        <v>240.15</v>
      </c>
      <c r="Z38" s="175">
        <v>1927.57</v>
      </c>
      <c r="AE38" s="51"/>
      <c r="AF38" s="52"/>
    </row>
    <row r="39" spans="1:32" ht="14.25">
      <c r="A39" s="72">
        <v>40872</v>
      </c>
      <c r="B39" s="70">
        <v>2071.97</v>
      </c>
      <c r="C39" s="70">
        <v>608.08</v>
      </c>
      <c r="D39" s="70">
        <v>0</v>
      </c>
      <c r="E39" s="70">
        <v>372.95</v>
      </c>
      <c r="F39" s="70">
        <v>3053.01</v>
      </c>
      <c r="G39" s="61"/>
      <c r="H39" s="61"/>
      <c r="I39" s="81"/>
      <c r="J39" s="61"/>
      <c r="K39" s="72">
        <v>40872</v>
      </c>
      <c r="L39" s="175">
        <v>2092.92</v>
      </c>
      <c r="M39" s="64">
        <v>542.18</v>
      </c>
      <c r="N39" s="64">
        <v>0</v>
      </c>
      <c r="O39" s="64">
        <v>376.73</v>
      </c>
      <c r="P39" s="175">
        <v>3011.83</v>
      </c>
      <c r="Q39" s="16"/>
      <c r="R39" s="16"/>
      <c r="S39" s="16"/>
      <c r="T39" s="16"/>
      <c r="U39" s="72">
        <v>40648</v>
      </c>
      <c r="V39" s="175">
        <v>1339.47</v>
      </c>
      <c r="W39" s="64">
        <v>347</v>
      </c>
      <c r="X39" s="64">
        <v>0</v>
      </c>
      <c r="Y39" s="64">
        <v>241.1</v>
      </c>
      <c r="Z39" s="175">
        <v>1927.57</v>
      </c>
      <c r="AE39" s="51"/>
      <c r="AF39" s="52"/>
    </row>
    <row r="40" spans="1:32" ht="15">
      <c r="A40" s="72">
        <v>40902</v>
      </c>
      <c r="B40" s="70">
        <v>2080.18</v>
      </c>
      <c r="C40" s="70">
        <v>598.4</v>
      </c>
      <c r="D40" s="70">
        <v>0</v>
      </c>
      <c r="E40" s="70">
        <v>374.43</v>
      </c>
      <c r="F40" s="70">
        <v>3053.01</v>
      </c>
      <c r="G40" s="71">
        <f>SUM(B29:B40)</f>
        <v>24427.520000000004</v>
      </c>
      <c r="H40" s="71">
        <f>SUM(C29:C40)</f>
        <v>7811.66</v>
      </c>
      <c r="I40" s="74">
        <f>SUM(G40:H40)</f>
        <v>32239.180000000004</v>
      </c>
      <c r="J40" s="61"/>
      <c r="K40" s="72">
        <v>40902</v>
      </c>
      <c r="L40" s="175">
        <v>2101.21</v>
      </c>
      <c r="M40" s="64">
        <v>532.4</v>
      </c>
      <c r="N40" s="64">
        <v>0</v>
      </c>
      <c r="O40" s="64">
        <v>378.22</v>
      </c>
      <c r="P40" s="175">
        <v>3011.83</v>
      </c>
      <c r="Q40" s="5">
        <f>SUM(L29:L40)</f>
        <v>24674.449999999997</v>
      </c>
      <c r="R40" s="5">
        <f>SUM(M29:M40)</f>
        <v>7026.050000000001</v>
      </c>
      <c r="S40" s="19">
        <f>SUM(Q40:R40)</f>
        <v>31700.5</v>
      </c>
      <c r="T40" s="12"/>
      <c r="U40" s="72">
        <v>40678</v>
      </c>
      <c r="V40" s="175">
        <v>1344.77</v>
      </c>
      <c r="W40" s="64">
        <v>340.74</v>
      </c>
      <c r="X40" s="64">
        <v>0</v>
      </c>
      <c r="Y40" s="64">
        <v>242.06</v>
      </c>
      <c r="Z40" s="175">
        <v>1927.57</v>
      </c>
      <c r="AA40" s="5">
        <f>SUM(V29:V40)</f>
        <v>15791.66</v>
      </c>
      <c r="AB40" s="5">
        <f>SUM(W29:W40)</f>
        <v>4496.68</v>
      </c>
      <c r="AC40" s="19">
        <f>SUM(AA40:AB40)</f>
        <v>20288.34</v>
      </c>
      <c r="AD40" s="12"/>
      <c r="AE40" s="53">
        <f>I40+S40+AC40</f>
        <v>84228.02</v>
      </c>
      <c r="AF40" s="52"/>
    </row>
    <row r="41" spans="1:32" ht="14.25">
      <c r="A41" s="72">
        <v>40933</v>
      </c>
      <c r="B41" s="70">
        <v>2088.42</v>
      </c>
      <c r="C41" s="70">
        <v>588.68</v>
      </c>
      <c r="D41" s="70">
        <v>0</v>
      </c>
      <c r="E41" s="70">
        <v>375.92</v>
      </c>
      <c r="F41" s="70">
        <v>3053.01</v>
      </c>
      <c r="G41" s="61"/>
      <c r="H41" s="61"/>
      <c r="I41" s="81"/>
      <c r="J41" s="61"/>
      <c r="K41" s="72">
        <v>40933</v>
      </c>
      <c r="L41" s="175">
        <v>2109.53</v>
      </c>
      <c r="M41" s="64">
        <v>522.58</v>
      </c>
      <c r="N41" s="64">
        <v>0</v>
      </c>
      <c r="O41" s="64">
        <v>379.72</v>
      </c>
      <c r="P41" s="175">
        <v>3011.83</v>
      </c>
      <c r="Q41" s="16"/>
      <c r="R41" s="16"/>
      <c r="S41" s="16"/>
      <c r="T41" s="16"/>
      <c r="U41" s="72">
        <v>40709</v>
      </c>
      <c r="V41" s="175">
        <v>1350.1</v>
      </c>
      <c r="W41" s="64">
        <v>334.45</v>
      </c>
      <c r="X41" s="64">
        <v>0</v>
      </c>
      <c r="Y41" s="64">
        <v>243.02</v>
      </c>
      <c r="Z41" s="175">
        <v>1927.57</v>
      </c>
      <c r="AE41" s="51"/>
      <c r="AF41" s="52"/>
    </row>
    <row r="42" spans="1:32" ht="14.25">
      <c r="A42" s="72">
        <v>40964</v>
      </c>
      <c r="B42" s="70">
        <v>2096.69</v>
      </c>
      <c r="C42" s="70">
        <v>578.91</v>
      </c>
      <c r="D42" s="70">
        <v>0</v>
      </c>
      <c r="E42" s="70">
        <v>377.4</v>
      </c>
      <c r="F42" s="70">
        <v>3053.01</v>
      </c>
      <c r="G42" s="61"/>
      <c r="H42" s="61"/>
      <c r="I42" s="81"/>
      <c r="J42" s="61"/>
      <c r="K42" s="72">
        <v>40964</v>
      </c>
      <c r="L42" s="175">
        <v>2117.89</v>
      </c>
      <c r="M42" s="64">
        <v>512.72</v>
      </c>
      <c r="N42" s="64">
        <v>0</v>
      </c>
      <c r="O42" s="64">
        <v>381.22</v>
      </c>
      <c r="P42" s="175">
        <v>3011.83</v>
      </c>
      <c r="Q42" s="16"/>
      <c r="R42" s="16"/>
      <c r="S42" s="16"/>
      <c r="T42" s="16"/>
      <c r="U42" s="72">
        <v>40739</v>
      </c>
      <c r="V42" s="175">
        <v>1355.45</v>
      </c>
      <c r="W42" s="64">
        <v>328.14</v>
      </c>
      <c r="X42" s="64">
        <v>0</v>
      </c>
      <c r="Y42" s="64">
        <v>243.98</v>
      </c>
      <c r="Z42" s="175">
        <v>1927.57</v>
      </c>
      <c r="AE42" s="51"/>
      <c r="AF42" s="52"/>
    </row>
    <row r="43" spans="1:32" ht="14.25">
      <c r="A43" s="72">
        <v>40993</v>
      </c>
      <c r="B43" s="70">
        <v>2105</v>
      </c>
      <c r="C43" s="70">
        <v>569.11</v>
      </c>
      <c r="D43" s="70">
        <v>0</v>
      </c>
      <c r="E43" s="70">
        <v>378.9</v>
      </c>
      <c r="F43" s="70">
        <v>3053.01</v>
      </c>
      <c r="G43" s="61"/>
      <c r="H43" s="61"/>
      <c r="I43" s="81"/>
      <c r="J43" s="61"/>
      <c r="K43" s="72">
        <v>40993</v>
      </c>
      <c r="L43" s="175">
        <v>2126.28</v>
      </c>
      <c r="M43" s="64">
        <v>502.82</v>
      </c>
      <c r="N43" s="64">
        <v>0</v>
      </c>
      <c r="O43" s="64">
        <v>382.73</v>
      </c>
      <c r="P43" s="175">
        <v>3011.83</v>
      </c>
      <c r="Q43" s="16"/>
      <c r="R43" s="16"/>
      <c r="S43" s="16"/>
      <c r="T43" s="16"/>
      <c r="U43" s="72">
        <v>40770</v>
      </c>
      <c r="V43" s="175">
        <v>1360.82</v>
      </c>
      <c r="W43" s="64">
        <v>321.81</v>
      </c>
      <c r="X43" s="64">
        <v>0</v>
      </c>
      <c r="Y43" s="64">
        <v>244.95</v>
      </c>
      <c r="Z43" s="175">
        <v>1927.57</v>
      </c>
      <c r="AE43" s="51"/>
      <c r="AF43" s="52"/>
    </row>
    <row r="44" spans="1:32" ht="14.25">
      <c r="A44" s="72">
        <v>41024</v>
      </c>
      <c r="B44" s="70">
        <v>2113.33</v>
      </c>
      <c r="C44" s="70">
        <v>559.28</v>
      </c>
      <c r="D44" s="70">
        <v>0</v>
      </c>
      <c r="E44" s="70">
        <v>380.4</v>
      </c>
      <c r="F44" s="70">
        <v>3053.01</v>
      </c>
      <c r="G44" s="61"/>
      <c r="H44" s="61"/>
      <c r="I44" s="81"/>
      <c r="J44" s="61"/>
      <c r="K44" s="72">
        <v>41024</v>
      </c>
      <c r="L44" s="175">
        <v>2134.7</v>
      </c>
      <c r="M44" s="64">
        <v>492.88</v>
      </c>
      <c r="N44" s="64">
        <v>0</v>
      </c>
      <c r="O44" s="64">
        <v>384.25</v>
      </c>
      <c r="P44" s="175">
        <v>3011.83</v>
      </c>
      <c r="Q44" s="16"/>
      <c r="R44" s="16"/>
      <c r="S44" s="16"/>
      <c r="T44" s="16"/>
      <c r="U44" s="72">
        <v>40801</v>
      </c>
      <c r="V44" s="175">
        <v>1366.21</v>
      </c>
      <c r="W44" s="64">
        <v>315.44</v>
      </c>
      <c r="X44" s="64">
        <v>0</v>
      </c>
      <c r="Y44" s="64">
        <v>245.92</v>
      </c>
      <c r="Z44" s="175">
        <v>1927.57</v>
      </c>
      <c r="AE44" s="51"/>
      <c r="AF44" s="52"/>
    </row>
    <row r="45" spans="1:32" ht="14.25">
      <c r="A45" s="72">
        <v>41054</v>
      </c>
      <c r="B45" s="70">
        <v>2121.71</v>
      </c>
      <c r="C45" s="70">
        <v>549.4</v>
      </c>
      <c r="D45" s="70">
        <v>0</v>
      </c>
      <c r="E45" s="70">
        <v>381.91</v>
      </c>
      <c r="F45" s="70">
        <v>3053.01</v>
      </c>
      <c r="G45" s="61"/>
      <c r="H45" s="61"/>
      <c r="I45" s="81"/>
      <c r="J45" s="61"/>
      <c r="K45" s="72">
        <v>41054</v>
      </c>
      <c r="L45" s="175">
        <v>2143.15</v>
      </c>
      <c r="M45" s="64">
        <v>482.9</v>
      </c>
      <c r="N45" s="64">
        <v>0</v>
      </c>
      <c r="O45" s="64">
        <v>385.77</v>
      </c>
      <c r="P45" s="175">
        <v>3011.83</v>
      </c>
      <c r="Q45" s="16"/>
      <c r="R45" s="16"/>
      <c r="S45" s="16"/>
      <c r="T45" s="16"/>
      <c r="U45" s="72">
        <v>40831</v>
      </c>
      <c r="V45" s="175">
        <v>1371.62</v>
      </c>
      <c r="W45" s="64">
        <v>309.06</v>
      </c>
      <c r="X45" s="64">
        <v>0</v>
      </c>
      <c r="Y45" s="64">
        <v>246.89</v>
      </c>
      <c r="Z45" s="175">
        <v>1927.57</v>
      </c>
      <c r="AE45" s="51"/>
      <c r="AF45" s="52"/>
    </row>
    <row r="46" spans="1:32" ht="14.25">
      <c r="A46" s="72">
        <v>41085</v>
      </c>
      <c r="B46" s="70">
        <v>2130.11</v>
      </c>
      <c r="C46" s="70">
        <v>539.48</v>
      </c>
      <c r="D46" s="70">
        <v>0</v>
      </c>
      <c r="E46" s="70">
        <v>383.42</v>
      </c>
      <c r="F46" s="70">
        <v>3053.01</v>
      </c>
      <c r="G46" s="61"/>
      <c r="H46" s="61"/>
      <c r="I46" s="81"/>
      <c r="J46" s="61"/>
      <c r="K46" s="72">
        <v>41085</v>
      </c>
      <c r="L46" s="175">
        <v>2151.64</v>
      </c>
      <c r="M46" s="64">
        <v>472.89</v>
      </c>
      <c r="N46" s="64">
        <v>0</v>
      </c>
      <c r="O46" s="64">
        <v>387.3</v>
      </c>
      <c r="P46" s="175">
        <v>3011.83</v>
      </c>
      <c r="Q46" s="16"/>
      <c r="R46" s="16"/>
      <c r="S46" s="16"/>
      <c r="T46" s="16"/>
      <c r="U46" s="72">
        <v>40862</v>
      </c>
      <c r="V46" s="175">
        <v>1377.05</v>
      </c>
      <c r="W46" s="64">
        <v>302.65</v>
      </c>
      <c r="X46" s="64">
        <v>0</v>
      </c>
      <c r="Y46" s="64">
        <v>247.87</v>
      </c>
      <c r="Z46" s="175">
        <v>1927.57</v>
      </c>
      <c r="AE46" s="51"/>
      <c r="AF46" s="52"/>
    </row>
    <row r="47" spans="1:32" ht="14.25">
      <c r="A47" s="72">
        <v>41115</v>
      </c>
      <c r="B47" s="70">
        <v>2138.55</v>
      </c>
      <c r="C47" s="70">
        <v>529.52</v>
      </c>
      <c r="D47" s="70">
        <v>0</v>
      </c>
      <c r="E47" s="70">
        <v>384.94</v>
      </c>
      <c r="F47" s="70">
        <v>3053.01</v>
      </c>
      <c r="G47" s="61"/>
      <c r="H47" s="61"/>
      <c r="I47" s="81"/>
      <c r="J47" s="61"/>
      <c r="K47" s="72">
        <v>41115</v>
      </c>
      <c r="L47" s="175">
        <v>2160.17</v>
      </c>
      <c r="M47" s="64">
        <v>462.83</v>
      </c>
      <c r="N47" s="64">
        <v>0</v>
      </c>
      <c r="O47" s="64">
        <v>388.83</v>
      </c>
      <c r="P47" s="175">
        <v>3011.83</v>
      </c>
      <c r="Q47" s="16"/>
      <c r="R47" s="16"/>
      <c r="S47" s="16"/>
      <c r="T47" s="16"/>
      <c r="U47" s="72">
        <v>40892</v>
      </c>
      <c r="V47" s="175">
        <v>1382.51</v>
      </c>
      <c r="W47" s="64">
        <v>296.21</v>
      </c>
      <c r="X47" s="64">
        <v>0</v>
      </c>
      <c r="Y47" s="64">
        <v>248.85</v>
      </c>
      <c r="Z47" s="175">
        <v>1927.57</v>
      </c>
      <c r="AE47" s="51"/>
      <c r="AF47" s="52"/>
    </row>
    <row r="48" spans="1:32" ht="14.25">
      <c r="A48" s="72">
        <v>41146</v>
      </c>
      <c r="B48" s="70">
        <v>2147.02</v>
      </c>
      <c r="C48" s="70">
        <v>519.53</v>
      </c>
      <c r="D48" s="70">
        <v>0</v>
      </c>
      <c r="E48" s="70">
        <v>386.46</v>
      </c>
      <c r="F48" s="70">
        <v>3053.01</v>
      </c>
      <c r="G48" s="61"/>
      <c r="H48" s="61"/>
      <c r="I48" s="81"/>
      <c r="J48" s="61"/>
      <c r="K48" s="72">
        <v>41146</v>
      </c>
      <c r="L48" s="175">
        <v>2168.72</v>
      </c>
      <c r="M48" s="64">
        <v>452.73</v>
      </c>
      <c r="N48" s="64">
        <v>0</v>
      </c>
      <c r="O48" s="64">
        <v>390.37</v>
      </c>
      <c r="P48" s="175">
        <v>3011.83</v>
      </c>
      <c r="Q48" s="16"/>
      <c r="R48" s="16"/>
      <c r="S48" s="16"/>
      <c r="T48" s="16"/>
      <c r="U48" s="72">
        <v>40923</v>
      </c>
      <c r="V48" s="175">
        <v>1387.98</v>
      </c>
      <c r="W48" s="64">
        <v>289.75</v>
      </c>
      <c r="X48" s="64">
        <v>0</v>
      </c>
      <c r="Y48" s="64">
        <v>249.84</v>
      </c>
      <c r="Z48" s="175">
        <v>1927.57</v>
      </c>
      <c r="AE48" s="51"/>
      <c r="AF48" s="52"/>
    </row>
    <row r="49" spans="1:32" ht="14.25">
      <c r="A49" s="72">
        <v>41177</v>
      </c>
      <c r="B49" s="70">
        <v>2155.52</v>
      </c>
      <c r="C49" s="70">
        <v>509.49</v>
      </c>
      <c r="D49" s="70">
        <v>0</v>
      </c>
      <c r="E49" s="70">
        <v>387.99</v>
      </c>
      <c r="F49" s="70">
        <v>3053.01</v>
      </c>
      <c r="G49" s="61"/>
      <c r="H49" s="61"/>
      <c r="I49" s="81"/>
      <c r="J49" s="61"/>
      <c r="K49" s="72">
        <v>41177</v>
      </c>
      <c r="L49" s="175">
        <v>2177.31</v>
      </c>
      <c r="M49" s="64">
        <v>442.6</v>
      </c>
      <c r="N49" s="64">
        <v>0</v>
      </c>
      <c r="O49" s="64">
        <v>391.92</v>
      </c>
      <c r="P49" s="175">
        <v>3011.83</v>
      </c>
      <c r="Q49" s="16"/>
      <c r="R49" s="16"/>
      <c r="S49" s="16"/>
      <c r="T49" s="16"/>
      <c r="U49" s="72">
        <v>40954</v>
      </c>
      <c r="V49" s="175">
        <v>1393.48</v>
      </c>
      <c r="W49" s="64">
        <v>283.26</v>
      </c>
      <c r="X49" s="64">
        <v>0</v>
      </c>
      <c r="Y49" s="64">
        <v>250.83</v>
      </c>
      <c r="Z49" s="175">
        <v>1927.57</v>
      </c>
      <c r="AE49" s="51"/>
      <c r="AF49" s="52"/>
    </row>
    <row r="50" spans="1:32" ht="14.25">
      <c r="A50" s="72">
        <v>41207</v>
      </c>
      <c r="B50" s="70">
        <v>2164.06</v>
      </c>
      <c r="C50" s="70">
        <v>499.42</v>
      </c>
      <c r="D50" s="70">
        <v>0</v>
      </c>
      <c r="E50" s="70">
        <v>389.53</v>
      </c>
      <c r="F50" s="70">
        <v>3053.01</v>
      </c>
      <c r="G50" s="61"/>
      <c r="H50" s="61"/>
      <c r="I50" s="81"/>
      <c r="J50" s="61"/>
      <c r="K50" s="72">
        <v>41207</v>
      </c>
      <c r="L50" s="175">
        <v>2185.94</v>
      </c>
      <c r="M50" s="64">
        <v>432.42</v>
      </c>
      <c r="N50" s="64">
        <v>0</v>
      </c>
      <c r="O50" s="64">
        <v>393.47</v>
      </c>
      <c r="P50" s="175">
        <v>3011.83</v>
      </c>
      <c r="Q50" s="16"/>
      <c r="R50" s="16"/>
      <c r="S50" s="16"/>
      <c r="T50" s="16"/>
      <c r="U50" s="72">
        <v>40983</v>
      </c>
      <c r="V50" s="175">
        <v>1399</v>
      </c>
      <c r="W50" s="64">
        <v>276.75</v>
      </c>
      <c r="X50" s="64">
        <v>0</v>
      </c>
      <c r="Y50" s="64">
        <v>251.82</v>
      </c>
      <c r="Z50" s="175">
        <v>1927.57</v>
      </c>
      <c r="AE50" s="51"/>
      <c r="AF50" s="52"/>
    </row>
    <row r="51" spans="1:32" ht="14.25">
      <c r="A51" s="72">
        <v>41238</v>
      </c>
      <c r="B51" s="70">
        <v>2172.63</v>
      </c>
      <c r="C51" s="70">
        <v>489.3</v>
      </c>
      <c r="D51" s="70">
        <v>0</v>
      </c>
      <c r="E51" s="70">
        <v>391.07</v>
      </c>
      <c r="F51" s="70">
        <v>3053.01</v>
      </c>
      <c r="G51" s="61"/>
      <c r="H51" s="61"/>
      <c r="I51" s="81"/>
      <c r="J51" s="61"/>
      <c r="K51" s="72">
        <v>41238</v>
      </c>
      <c r="L51" s="175">
        <v>2194.6</v>
      </c>
      <c r="M51" s="64">
        <v>422.2</v>
      </c>
      <c r="N51" s="64">
        <v>0</v>
      </c>
      <c r="O51" s="64">
        <v>395.03</v>
      </c>
      <c r="P51" s="175">
        <v>3011.83</v>
      </c>
      <c r="Q51" s="16"/>
      <c r="R51" s="16"/>
      <c r="S51" s="16"/>
      <c r="T51" s="16"/>
      <c r="U51" s="72">
        <v>41014</v>
      </c>
      <c r="V51" s="175">
        <v>1404.54</v>
      </c>
      <c r="W51" s="64">
        <v>270.21</v>
      </c>
      <c r="X51" s="64">
        <v>0</v>
      </c>
      <c r="Y51" s="64">
        <v>252.82</v>
      </c>
      <c r="Z51" s="175">
        <v>1927.57</v>
      </c>
      <c r="AE51" s="51"/>
      <c r="AF51" s="52"/>
    </row>
    <row r="52" spans="1:32" ht="15">
      <c r="A52" s="72">
        <v>41268</v>
      </c>
      <c r="B52" s="70">
        <v>2181.24</v>
      </c>
      <c r="C52" s="70">
        <v>479.15</v>
      </c>
      <c r="D52" s="70">
        <v>0</v>
      </c>
      <c r="E52" s="70">
        <v>392.62</v>
      </c>
      <c r="F52" s="70">
        <v>3053.01</v>
      </c>
      <c r="G52" s="71">
        <f>SUM(B41:B52)</f>
        <v>25614.280000000006</v>
      </c>
      <c r="H52" s="71">
        <f>SUM(C41:C52)</f>
        <v>6411.2699999999995</v>
      </c>
      <c r="I52" s="74">
        <f>SUM(G52:H52)</f>
        <v>32025.550000000007</v>
      </c>
      <c r="J52" s="61"/>
      <c r="K52" s="72">
        <v>41268</v>
      </c>
      <c r="L52" s="175">
        <v>2203.29</v>
      </c>
      <c r="M52" s="64">
        <v>411.94</v>
      </c>
      <c r="N52" s="64">
        <v>0</v>
      </c>
      <c r="O52" s="64">
        <v>396.59</v>
      </c>
      <c r="P52" s="175">
        <v>3011.83</v>
      </c>
      <c r="Q52" s="5">
        <f>SUM(L41:L52)</f>
        <v>25873.22</v>
      </c>
      <c r="R52" s="5">
        <f>SUM(M41:M52)</f>
        <v>5611.509999999999</v>
      </c>
      <c r="S52" s="19">
        <f>SUM(Q52:R52)</f>
        <v>31484.73</v>
      </c>
      <c r="T52" s="12"/>
      <c r="U52" s="72">
        <v>41044</v>
      </c>
      <c r="V52" s="175">
        <v>1410.11</v>
      </c>
      <c r="W52" s="64">
        <v>263.64</v>
      </c>
      <c r="X52" s="64">
        <v>0</v>
      </c>
      <c r="Y52" s="64">
        <v>253.82</v>
      </c>
      <c r="Z52" s="175">
        <v>1927.57</v>
      </c>
      <c r="AA52" s="5">
        <f>SUM(V41:V52)</f>
        <v>16558.87</v>
      </c>
      <c r="AB52" s="5">
        <f>SUM(W41:W52)</f>
        <v>3591.3699999999994</v>
      </c>
      <c r="AC52" s="19">
        <f>SUM(AA52:AB52)</f>
        <v>20150.239999999998</v>
      </c>
      <c r="AD52" s="12"/>
      <c r="AE52" s="53">
        <f>I52+S52+AC52</f>
        <v>83660.52</v>
      </c>
      <c r="AF52" s="52"/>
    </row>
    <row r="53" spans="1:32" ht="14.25">
      <c r="A53" s="72">
        <v>41299</v>
      </c>
      <c r="B53" s="70">
        <v>2189.88</v>
      </c>
      <c r="C53" s="70">
        <v>468.95</v>
      </c>
      <c r="D53" s="70">
        <v>0</v>
      </c>
      <c r="E53" s="70">
        <v>394.18</v>
      </c>
      <c r="F53" s="70">
        <v>3053.01</v>
      </c>
      <c r="G53" s="61"/>
      <c r="H53" s="61"/>
      <c r="I53" s="81"/>
      <c r="J53" s="61"/>
      <c r="K53" s="72">
        <v>41299</v>
      </c>
      <c r="L53" s="175">
        <v>2212.02</v>
      </c>
      <c r="M53" s="64">
        <v>401.64</v>
      </c>
      <c r="N53" s="64">
        <v>0</v>
      </c>
      <c r="O53" s="64">
        <v>398.16</v>
      </c>
      <c r="P53" s="175">
        <v>3011.83</v>
      </c>
      <c r="Q53" s="16"/>
      <c r="R53" s="16"/>
      <c r="S53" s="16"/>
      <c r="T53" s="16"/>
      <c r="U53" s="72">
        <v>41075</v>
      </c>
      <c r="V53" s="175">
        <v>1415.69</v>
      </c>
      <c r="W53" s="64">
        <v>257.05</v>
      </c>
      <c r="X53" s="64">
        <v>0</v>
      </c>
      <c r="Y53" s="64">
        <v>254.82</v>
      </c>
      <c r="Z53" s="175">
        <v>1927.57</v>
      </c>
      <c r="AE53" s="51"/>
      <c r="AF53" s="52"/>
    </row>
    <row r="54" spans="1:32" ht="14.25">
      <c r="A54" s="72">
        <v>41330</v>
      </c>
      <c r="B54" s="70">
        <v>2198.55</v>
      </c>
      <c r="C54" s="70">
        <v>458.72</v>
      </c>
      <c r="D54" s="70">
        <v>0</v>
      </c>
      <c r="E54" s="70">
        <v>395.74</v>
      </c>
      <c r="F54" s="70">
        <v>3053.01</v>
      </c>
      <c r="G54" s="61"/>
      <c r="H54" s="61"/>
      <c r="I54" s="81"/>
      <c r="J54" s="61"/>
      <c r="K54" s="72">
        <v>41330</v>
      </c>
      <c r="L54" s="175">
        <v>2220.78</v>
      </c>
      <c r="M54" s="64">
        <v>391.31</v>
      </c>
      <c r="N54" s="64">
        <v>0</v>
      </c>
      <c r="O54" s="64">
        <v>399.74</v>
      </c>
      <c r="P54" s="175">
        <v>3011.83</v>
      </c>
      <c r="Q54" s="16"/>
      <c r="R54" s="16"/>
      <c r="S54" s="16"/>
      <c r="T54" s="16"/>
      <c r="U54" s="72">
        <v>41105</v>
      </c>
      <c r="V54" s="175">
        <v>1421.3</v>
      </c>
      <c r="W54" s="64">
        <v>250.44</v>
      </c>
      <c r="X54" s="64">
        <v>0</v>
      </c>
      <c r="Y54" s="64">
        <v>255.83</v>
      </c>
      <c r="Z54" s="175">
        <v>1927.57</v>
      </c>
      <c r="AE54" s="51"/>
      <c r="AF54" s="52"/>
    </row>
    <row r="55" spans="1:32" ht="14.25">
      <c r="A55" s="72">
        <v>41358</v>
      </c>
      <c r="B55" s="70">
        <v>2207.26</v>
      </c>
      <c r="C55" s="70">
        <v>448.44</v>
      </c>
      <c r="D55" s="70">
        <v>0</v>
      </c>
      <c r="E55" s="70">
        <v>397.31</v>
      </c>
      <c r="F55" s="70">
        <v>3053.01</v>
      </c>
      <c r="G55" s="61"/>
      <c r="H55" s="61"/>
      <c r="I55" s="81"/>
      <c r="J55" s="61"/>
      <c r="K55" s="72">
        <v>41358</v>
      </c>
      <c r="L55" s="175">
        <v>2229.58</v>
      </c>
      <c r="M55" s="64">
        <v>380.93</v>
      </c>
      <c r="N55" s="64">
        <v>0</v>
      </c>
      <c r="O55" s="64">
        <v>401.32</v>
      </c>
      <c r="P55" s="175">
        <v>3011.83</v>
      </c>
      <c r="Q55" s="16"/>
      <c r="R55" s="16"/>
      <c r="S55" s="16"/>
      <c r="T55" s="16"/>
      <c r="U55" s="72">
        <v>41136</v>
      </c>
      <c r="V55" s="175">
        <v>1426.93</v>
      </c>
      <c r="W55" s="64">
        <v>243.79</v>
      </c>
      <c r="X55" s="64">
        <v>0</v>
      </c>
      <c r="Y55" s="64">
        <v>256.85</v>
      </c>
      <c r="Z55" s="175">
        <v>1927.57</v>
      </c>
      <c r="AE55" s="51"/>
      <c r="AF55" s="52"/>
    </row>
    <row r="56" spans="1:32" ht="14.25">
      <c r="A56" s="72">
        <v>41389</v>
      </c>
      <c r="B56" s="70">
        <v>2216.01</v>
      </c>
      <c r="C56" s="70">
        <v>438.12</v>
      </c>
      <c r="D56" s="70">
        <v>0</v>
      </c>
      <c r="E56" s="70">
        <v>398.88</v>
      </c>
      <c r="F56" s="70">
        <v>3053.01</v>
      </c>
      <c r="G56" s="61"/>
      <c r="H56" s="61"/>
      <c r="I56" s="81"/>
      <c r="J56" s="61"/>
      <c r="K56" s="72">
        <v>41389</v>
      </c>
      <c r="L56" s="175">
        <v>2238.41</v>
      </c>
      <c r="M56" s="64">
        <v>370.5</v>
      </c>
      <c r="N56" s="64">
        <v>0</v>
      </c>
      <c r="O56" s="64">
        <v>402.91</v>
      </c>
      <c r="P56" s="175">
        <v>3011.83</v>
      </c>
      <c r="Q56" s="16"/>
      <c r="R56" s="16"/>
      <c r="S56" s="16"/>
      <c r="T56" s="16"/>
      <c r="U56" s="72">
        <v>41167</v>
      </c>
      <c r="V56" s="175">
        <v>1432.58</v>
      </c>
      <c r="W56" s="64">
        <v>237.12</v>
      </c>
      <c r="X56" s="64">
        <v>0</v>
      </c>
      <c r="Y56" s="64">
        <v>257.86</v>
      </c>
      <c r="Z56" s="175">
        <v>1927.57</v>
      </c>
      <c r="AE56" s="51"/>
      <c r="AF56" s="52"/>
    </row>
    <row r="57" spans="1:32" ht="14.25">
      <c r="A57" s="72">
        <v>41419</v>
      </c>
      <c r="B57" s="70">
        <v>2224.78</v>
      </c>
      <c r="C57" s="70">
        <v>427.76</v>
      </c>
      <c r="D57" s="70">
        <v>0</v>
      </c>
      <c r="E57" s="70">
        <v>400.46</v>
      </c>
      <c r="F57" s="70">
        <v>3053.01</v>
      </c>
      <c r="G57" s="61"/>
      <c r="H57" s="61"/>
      <c r="I57" s="81"/>
      <c r="J57" s="61"/>
      <c r="K57" s="72">
        <v>41419</v>
      </c>
      <c r="L57" s="175">
        <v>2247.28</v>
      </c>
      <c r="M57" s="64">
        <v>360.04</v>
      </c>
      <c r="N57" s="64">
        <v>0</v>
      </c>
      <c r="O57" s="64">
        <v>404.51</v>
      </c>
      <c r="P57" s="175">
        <v>3011.83</v>
      </c>
      <c r="Q57" s="16"/>
      <c r="R57" s="16"/>
      <c r="S57" s="16"/>
      <c r="T57" s="16"/>
      <c r="U57" s="72">
        <v>41197</v>
      </c>
      <c r="V57" s="175">
        <v>1438.26</v>
      </c>
      <c r="W57" s="64">
        <v>230.43</v>
      </c>
      <c r="X57" s="64">
        <v>0</v>
      </c>
      <c r="Y57" s="64">
        <v>258.89</v>
      </c>
      <c r="Z57" s="175">
        <v>1927.57</v>
      </c>
      <c r="AE57" s="51"/>
      <c r="AF57" s="52"/>
    </row>
    <row r="58" spans="1:32" ht="14.25">
      <c r="A58" s="72">
        <v>41450</v>
      </c>
      <c r="B58" s="70">
        <v>2233.6</v>
      </c>
      <c r="C58" s="70">
        <v>417.36</v>
      </c>
      <c r="D58" s="70">
        <v>0</v>
      </c>
      <c r="E58" s="70">
        <v>402.05</v>
      </c>
      <c r="F58" s="70">
        <v>3053.01</v>
      </c>
      <c r="G58" s="61"/>
      <c r="H58" s="61"/>
      <c r="I58" s="81"/>
      <c r="J58" s="61"/>
      <c r="K58" s="72">
        <v>41450</v>
      </c>
      <c r="L58" s="175">
        <v>2256.18</v>
      </c>
      <c r="M58" s="64">
        <v>349.54</v>
      </c>
      <c r="N58" s="64">
        <v>0</v>
      </c>
      <c r="O58" s="64">
        <v>406.11</v>
      </c>
      <c r="P58" s="175">
        <v>3011.83</v>
      </c>
      <c r="Q58" s="16"/>
      <c r="R58" s="16"/>
      <c r="S58" s="16"/>
      <c r="T58" s="16"/>
      <c r="U58" s="72">
        <v>41228</v>
      </c>
      <c r="V58" s="175">
        <v>1443.95</v>
      </c>
      <c r="W58" s="64">
        <v>223.7</v>
      </c>
      <c r="X58" s="64">
        <v>0</v>
      </c>
      <c r="Y58" s="64">
        <v>259.91</v>
      </c>
      <c r="Z58" s="175">
        <v>1927.57</v>
      </c>
      <c r="AE58" s="51"/>
      <c r="AF58" s="52"/>
    </row>
    <row r="59" spans="1:32" ht="14.25">
      <c r="A59" s="72">
        <v>41480</v>
      </c>
      <c r="B59" s="70">
        <v>2242.44</v>
      </c>
      <c r="C59" s="70">
        <v>406.92</v>
      </c>
      <c r="D59" s="70">
        <v>0</v>
      </c>
      <c r="E59" s="70">
        <v>403.64</v>
      </c>
      <c r="F59" s="70">
        <v>3053.01</v>
      </c>
      <c r="G59" s="61"/>
      <c r="H59" s="61"/>
      <c r="I59" s="81"/>
      <c r="J59" s="61"/>
      <c r="K59" s="72">
        <v>41480</v>
      </c>
      <c r="L59" s="175">
        <v>2265.11</v>
      </c>
      <c r="M59" s="64">
        <v>338.99</v>
      </c>
      <c r="N59" s="64">
        <v>0</v>
      </c>
      <c r="O59" s="64">
        <v>407.72</v>
      </c>
      <c r="P59" s="175">
        <v>3011.83</v>
      </c>
      <c r="Q59" s="16"/>
      <c r="R59" s="16"/>
      <c r="S59" s="16"/>
      <c r="T59" s="16"/>
      <c r="U59" s="72">
        <v>41258</v>
      </c>
      <c r="V59" s="175">
        <v>1449.67</v>
      </c>
      <c r="W59" s="64">
        <v>216.95</v>
      </c>
      <c r="X59" s="64">
        <v>0</v>
      </c>
      <c r="Y59" s="64">
        <v>260.94</v>
      </c>
      <c r="Z59" s="175">
        <v>1927.57</v>
      </c>
      <c r="AE59" s="51"/>
      <c r="AF59" s="52"/>
    </row>
    <row r="60" spans="1:32" ht="14.25">
      <c r="A60" s="72">
        <v>41511</v>
      </c>
      <c r="B60" s="70">
        <v>2251.33</v>
      </c>
      <c r="C60" s="70">
        <v>396.44</v>
      </c>
      <c r="D60" s="70">
        <v>0</v>
      </c>
      <c r="E60" s="70">
        <v>405.24</v>
      </c>
      <c r="F60" s="70">
        <v>3053.01</v>
      </c>
      <c r="G60" s="61"/>
      <c r="H60" s="61"/>
      <c r="I60" s="81"/>
      <c r="J60" s="61"/>
      <c r="K60" s="72">
        <v>41511</v>
      </c>
      <c r="L60" s="175">
        <v>2274.09</v>
      </c>
      <c r="M60" s="64">
        <v>328.4</v>
      </c>
      <c r="N60" s="64">
        <v>0</v>
      </c>
      <c r="O60" s="64">
        <v>409.34</v>
      </c>
      <c r="P60" s="175">
        <v>3011.83</v>
      </c>
      <c r="Q60" s="16"/>
      <c r="R60" s="16"/>
      <c r="S60" s="16"/>
      <c r="T60" s="16"/>
      <c r="U60" s="72">
        <v>41289</v>
      </c>
      <c r="V60" s="175">
        <v>1455.42</v>
      </c>
      <c r="W60" s="64">
        <v>210.18</v>
      </c>
      <c r="X60" s="64">
        <v>0</v>
      </c>
      <c r="Y60" s="64">
        <v>261.97</v>
      </c>
      <c r="Z60" s="175">
        <v>1927.57</v>
      </c>
      <c r="AE60" s="51"/>
      <c r="AF60" s="52"/>
    </row>
    <row r="61" spans="1:32" ht="14.25">
      <c r="A61" s="72">
        <v>41542</v>
      </c>
      <c r="B61" s="70">
        <v>2260.25</v>
      </c>
      <c r="C61" s="70">
        <v>385.92</v>
      </c>
      <c r="D61" s="70">
        <v>0</v>
      </c>
      <c r="E61" s="70">
        <v>406.84</v>
      </c>
      <c r="F61" s="70">
        <v>3053.01</v>
      </c>
      <c r="G61" s="61"/>
      <c r="H61" s="61"/>
      <c r="I61" s="81"/>
      <c r="J61" s="61"/>
      <c r="K61" s="72">
        <v>41542</v>
      </c>
      <c r="L61" s="175">
        <v>2283.1</v>
      </c>
      <c r="M61" s="64">
        <v>317.77</v>
      </c>
      <c r="N61" s="64">
        <v>0</v>
      </c>
      <c r="O61" s="64">
        <v>410.96</v>
      </c>
      <c r="P61" s="175">
        <v>3011.83</v>
      </c>
      <c r="Q61" s="16"/>
      <c r="R61" s="16"/>
      <c r="S61" s="16"/>
      <c r="T61" s="16"/>
      <c r="U61" s="72">
        <v>41320</v>
      </c>
      <c r="V61" s="175">
        <v>1461.18</v>
      </c>
      <c r="W61" s="64">
        <v>203.38</v>
      </c>
      <c r="X61" s="64">
        <v>0</v>
      </c>
      <c r="Y61" s="64">
        <v>263.01</v>
      </c>
      <c r="Z61" s="175">
        <v>1927.57</v>
      </c>
      <c r="AE61" s="51"/>
      <c r="AF61" s="52"/>
    </row>
    <row r="62" spans="1:32" ht="14.25">
      <c r="A62" s="72">
        <v>41572</v>
      </c>
      <c r="B62" s="70">
        <v>2269.2</v>
      </c>
      <c r="C62" s="70">
        <v>375.36</v>
      </c>
      <c r="D62" s="70">
        <v>0</v>
      </c>
      <c r="E62" s="70">
        <v>408.46</v>
      </c>
      <c r="F62" s="70">
        <v>3053.01</v>
      </c>
      <c r="G62" s="61"/>
      <c r="H62" s="61"/>
      <c r="I62" s="81"/>
      <c r="J62" s="61"/>
      <c r="K62" s="72">
        <v>41572</v>
      </c>
      <c r="L62" s="175">
        <v>2292.14</v>
      </c>
      <c r="M62" s="64">
        <v>307.1</v>
      </c>
      <c r="N62" s="64">
        <v>0</v>
      </c>
      <c r="O62" s="64">
        <v>412.59</v>
      </c>
      <c r="P62" s="175">
        <v>3011.83</v>
      </c>
      <c r="Q62" s="16"/>
      <c r="R62" s="16"/>
      <c r="S62" s="16"/>
      <c r="T62" s="16"/>
      <c r="U62" s="72">
        <v>41348</v>
      </c>
      <c r="V62" s="175">
        <v>1466.97</v>
      </c>
      <c r="W62" s="64">
        <v>196.55</v>
      </c>
      <c r="X62" s="64">
        <v>0</v>
      </c>
      <c r="Y62" s="64">
        <v>264.05</v>
      </c>
      <c r="Z62" s="175">
        <v>1927.57</v>
      </c>
      <c r="AE62" s="51"/>
      <c r="AF62" s="52"/>
    </row>
    <row r="63" spans="1:32" ht="14.25">
      <c r="A63" s="72">
        <v>41603</v>
      </c>
      <c r="B63" s="70">
        <v>2278.19</v>
      </c>
      <c r="C63" s="70">
        <v>364.75</v>
      </c>
      <c r="D63" s="70">
        <v>0</v>
      </c>
      <c r="E63" s="70">
        <v>410.07</v>
      </c>
      <c r="F63" s="70">
        <v>3053.01</v>
      </c>
      <c r="G63" s="61"/>
      <c r="H63" s="61"/>
      <c r="I63" s="81"/>
      <c r="J63" s="61"/>
      <c r="K63" s="72">
        <v>41603</v>
      </c>
      <c r="L63" s="175">
        <v>2301.22</v>
      </c>
      <c r="M63" s="64">
        <v>296.39</v>
      </c>
      <c r="N63" s="64">
        <v>0</v>
      </c>
      <c r="O63" s="64">
        <v>414.22</v>
      </c>
      <c r="P63" s="175">
        <v>3011.83</v>
      </c>
      <c r="Q63" s="16"/>
      <c r="R63" s="16"/>
      <c r="S63" s="16"/>
      <c r="T63" s="16"/>
      <c r="U63" s="72">
        <v>41379</v>
      </c>
      <c r="V63" s="175">
        <v>1472.78</v>
      </c>
      <c r="W63" s="64">
        <v>189.69</v>
      </c>
      <c r="X63" s="64">
        <v>0</v>
      </c>
      <c r="Y63" s="64">
        <v>265.1</v>
      </c>
      <c r="Z63" s="175">
        <v>1927.57</v>
      </c>
      <c r="AE63" s="51"/>
      <c r="AF63" s="52"/>
    </row>
    <row r="64" spans="1:32" ht="15">
      <c r="A64" s="72">
        <v>41633</v>
      </c>
      <c r="B64" s="70">
        <v>2287.21</v>
      </c>
      <c r="C64" s="70">
        <v>354.1</v>
      </c>
      <c r="D64" s="70">
        <v>0</v>
      </c>
      <c r="E64" s="70">
        <v>411.7</v>
      </c>
      <c r="F64" s="70">
        <v>3053.01</v>
      </c>
      <c r="G64" s="71">
        <f>SUM(B53:B64)</f>
        <v>26858.7</v>
      </c>
      <c r="H64" s="71">
        <f>SUM(C53:C64)</f>
        <v>4942.84</v>
      </c>
      <c r="I64" s="74">
        <f>SUM(G64:H64)</f>
        <v>31801.54</v>
      </c>
      <c r="J64" s="61"/>
      <c r="K64" s="72">
        <v>41633</v>
      </c>
      <c r="L64" s="175">
        <v>2310.33</v>
      </c>
      <c r="M64" s="64">
        <v>285.63</v>
      </c>
      <c r="N64" s="64">
        <v>0</v>
      </c>
      <c r="O64" s="64">
        <v>415.86</v>
      </c>
      <c r="P64" s="175">
        <v>3011.83</v>
      </c>
      <c r="Q64" s="5">
        <f>SUM(L53:L64)</f>
        <v>27130.240000000005</v>
      </c>
      <c r="R64" s="5">
        <f>SUM(M53:M64)</f>
        <v>4128.24</v>
      </c>
      <c r="S64" s="19">
        <f>SUM(Q64:R64)</f>
        <v>31258.480000000003</v>
      </c>
      <c r="T64" s="12"/>
      <c r="U64" s="72">
        <v>41409</v>
      </c>
      <c r="V64" s="175">
        <v>1478.61</v>
      </c>
      <c r="W64" s="64">
        <v>182.8</v>
      </c>
      <c r="X64" s="64">
        <v>0</v>
      </c>
      <c r="Y64" s="64">
        <v>266.15</v>
      </c>
      <c r="Z64" s="175">
        <v>1927.57</v>
      </c>
      <c r="AA64" s="5">
        <f>SUM(V53:V64)</f>
        <v>17363.34</v>
      </c>
      <c r="AB64" s="5">
        <f>SUM(W53:W64)</f>
        <v>2642.0800000000004</v>
      </c>
      <c r="AC64" s="19">
        <f>SUM(AA64:AB64)</f>
        <v>20005.420000000002</v>
      </c>
      <c r="AD64" s="12"/>
      <c r="AE64" s="55">
        <f>I64+S64+AC64</f>
        <v>83065.44</v>
      </c>
      <c r="AF64" s="50"/>
    </row>
    <row r="65" spans="1:32" ht="15.75" thickBot="1">
      <c r="A65" s="72">
        <v>41664</v>
      </c>
      <c r="B65" s="70">
        <v>2296.27</v>
      </c>
      <c r="C65" s="70">
        <v>343.41</v>
      </c>
      <c r="D65" s="70">
        <v>0</v>
      </c>
      <c r="E65" s="70">
        <v>413.33</v>
      </c>
      <c r="F65" s="70">
        <v>3053.01</v>
      </c>
      <c r="G65" s="89">
        <f>SUM(G11:G64)</f>
        <v>155343.99000000002</v>
      </c>
      <c r="H65" s="89">
        <f>SUM(H11:H64)</f>
        <v>32503.58</v>
      </c>
      <c r="I65" s="89">
        <f>SUM(I11:I64)</f>
        <v>190547.57</v>
      </c>
      <c r="J65" s="61"/>
      <c r="K65" s="72">
        <v>41664</v>
      </c>
      <c r="L65" s="175">
        <v>2319.49</v>
      </c>
      <c r="M65" s="64">
        <v>274.83</v>
      </c>
      <c r="N65" s="64">
        <v>0</v>
      </c>
      <c r="O65" s="64">
        <v>417.51</v>
      </c>
      <c r="P65" s="175">
        <v>3011.83</v>
      </c>
      <c r="Q65" s="46">
        <f>SUM(Q11:Q64)</f>
        <v>153065.98</v>
      </c>
      <c r="R65" s="46">
        <f>SUM(R11:R64)</f>
        <v>29040.08</v>
      </c>
      <c r="S65" s="46">
        <f>SUM(S11:S64)</f>
        <v>184606.06000000003</v>
      </c>
      <c r="T65" s="16"/>
      <c r="U65" s="72">
        <v>41440</v>
      </c>
      <c r="V65" s="175">
        <v>1484.47</v>
      </c>
      <c r="W65" s="64">
        <v>175.89</v>
      </c>
      <c r="X65" s="64">
        <v>0</v>
      </c>
      <c r="Y65" s="64">
        <v>267.2</v>
      </c>
      <c r="Z65" s="175">
        <v>1927.57</v>
      </c>
      <c r="AA65" s="46">
        <f>SUM(AA11:AA64)</f>
        <v>97962.26</v>
      </c>
      <c r="AB65" s="46">
        <f>SUM(AB11:AB64)</f>
        <v>18585.68</v>
      </c>
      <c r="AC65" s="46">
        <f>SUM(AC11:AC64)</f>
        <v>119047.93999999999</v>
      </c>
      <c r="AE65" s="56">
        <f>SUM(AE11:AE64)</f>
        <v>609455.8</v>
      </c>
      <c r="AF65" s="56">
        <f>SUM(AF11:AF64)</f>
        <v>15400</v>
      </c>
    </row>
    <row r="66" spans="1:26" ht="12.75">
      <c r="A66" s="72">
        <v>41695</v>
      </c>
      <c r="B66" s="70">
        <v>2305.37</v>
      </c>
      <c r="C66" s="70">
        <v>332.68</v>
      </c>
      <c r="D66" s="70">
        <v>0</v>
      </c>
      <c r="E66" s="70">
        <v>414.97</v>
      </c>
      <c r="F66" s="70">
        <v>3053.01</v>
      </c>
      <c r="G66" s="61"/>
      <c r="H66" s="61"/>
      <c r="I66" s="81"/>
      <c r="J66" s="61"/>
      <c r="K66" s="72">
        <v>41695</v>
      </c>
      <c r="L66" s="175">
        <v>2328.67</v>
      </c>
      <c r="M66" s="64">
        <v>263.99</v>
      </c>
      <c r="N66" s="64">
        <v>0</v>
      </c>
      <c r="O66" s="64">
        <v>419.16</v>
      </c>
      <c r="P66" s="175">
        <v>3011.83</v>
      </c>
      <c r="Q66" s="16"/>
      <c r="R66" s="16"/>
      <c r="S66" s="16"/>
      <c r="T66" s="16"/>
      <c r="U66" s="72">
        <v>41470</v>
      </c>
      <c r="V66" s="175">
        <v>1490.35</v>
      </c>
      <c r="W66" s="64">
        <v>168.95</v>
      </c>
      <c r="X66" s="64">
        <v>0</v>
      </c>
      <c r="Y66" s="64">
        <v>268.26</v>
      </c>
      <c r="Z66" s="175">
        <v>1927.57</v>
      </c>
    </row>
    <row r="67" spans="1:31" ht="12.75">
      <c r="A67" s="72">
        <v>41723</v>
      </c>
      <c r="B67" s="70">
        <v>2314.5</v>
      </c>
      <c r="C67" s="70">
        <v>321.9</v>
      </c>
      <c r="D67" s="70">
        <v>0</v>
      </c>
      <c r="E67" s="70">
        <v>416.61</v>
      </c>
      <c r="F67" s="70">
        <v>3053.01</v>
      </c>
      <c r="G67" s="61"/>
      <c r="H67" s="61"/>
      <c r="I67" s="81"/>
      <c r="J67" s="61"/>
      <c r="K67" s="72">
        <v>41723</v>
      </c>
      <c r="L67" s="175">
        <v>2337.9</v>
      </c>
      <c r="M67" s="64">
        <v>253.11</v>
      </c>
      <c r="N67" s="64">
        <v>0</v>
      </c>
      <c r="O67" s="64">
        <v>420.82</v>
      </c>
      <c r="P67" s="175">
        <v>3011.83</v>
      </c>
      <c r="Q67" s="16"/>
      <c r="R67" s="16"/>
      <c r="S67" s="16"/>
      <c r="T67" s="16"/>
      <c r="U67" s="72">
        <v>41501</v>
      </c>
      <c r="V67" s="175">
        <v>1496.25</v>
      </c>
      <c r="W67" s="64">
        <v>161.99</v>
      </c>
      <c r="X67" s="64">
        <v>0</v>
      </c>
      <c r="Y67" s="64">
        <v>269.33</v>
      </c>
      <c r="Z67" s="175">
        <v>1927.57</v>
      </c>
      <c r="AE67" s="1"/>
    </row>
    <row r="68" spans="1:26" ht="12.75">
      <c r="A68" s="72">
        <v>41754</v>
      </c>
      <c r="B68" s="70">
        <v>2323.67</v>
      </c>
      <c r="C68" s="70">
        <v>311.08</v>
      </c>
      <c r="D68" s="70">
        <v>0</v>
      </c>
      <c r="E68" s="70">
        <v>418.26</v>
      </c>
      <c r="F68" s="70">
        <v>3053.01</v>
      </c>
      <c r="G68" s="61"/>
      <c r="H68" s="61"/>
      <c r="I68" s="81"/>
      <c r="J68" s="61"/>
      <c r="K68" s="72">
        <v>41754</v>
      </c>
      <c r="L68" s="175">
        <v>2347.16</v>
      </c>
      <c r="M68" s="64">
        <v>242.18</v>
      </c>
      <c r="N68" s="64">
        <v>0</v>
      </c>
      <c r="O68" s="64">
        <v>422.49</v>
      </c>
      <c r="P68" s="175">
        <v>3011.83</v>
      </c>
      <c r="Q68" s="16"/>
      <c r="R68" s="16"/>
      <c r="S68" s="16"/>
      <c r="T68" s="16"/>
      <c r="U68" s="72">
        <v>41532</v>
      </c>
      <c r="V68" s="175">
        <v>1502.18</v>
      </c>
      <c r="W68" s="64">
        <v>154.99</v>
      </c>
      <c r="X68" s="64">
        <v>0</v>
      </c>
      <c r="Y68" s="64">
        <v>270.39</v>
      </c>
      <c r="Z68" s="175">
        <v>1927.57</v>
      </c>
    </row>
    <row r="69" spans="1:26" ht="12.75">
      <c r="A69" s="72">
        <v>41784</v>
      </c>
      <c r="B69" s="70">
        <v>2332.87</v>
      </c>
      <c r="C69" s="70">
        <v>300.22</v>
      </c>
      <c r="D69" s="70">
        <v>0</v>
      </c>
      <c r="E69" s="70">
        <v>419.92</v>
      </c>
      <c r="F69" s="70">
        <v>3053.01</v>
      </c>
      <c r="G69" s="61"/>
      <c r="H69" s="61"/>
      <c r="I69" s="81"/>
      <c r="J69" s="61"/>
      <c r="K69" s="72">
        <v>41784</v>
      </c>
      <c r="L69" s="175">
        <v>2356.46</v>
      </c>
      <c r="M69" s="64">
        <v>231.21</v>
      </c>
      <c r="N69" s="64">
        <v>0</v>
      </c>
      <c r="O69" s="64">
        <v>424.16</v>
      </c>
      <c r="P69" s="175">
        <v>3011.83</v>
      </c>
      <c r="Q69" s="16"/>
      <c r="R69" s="16"/>
      <c r="S69" s="16"/>
      <c r="T69" s="16"/>
      <c r="U69" s="72">
        <v>41562</v>
      </c>
      <c r="V69" s="175">
        <v>1508.13</v>
      </c>
      <c r="W69" s="64">
        <v>147.97</v>
      </c>
      <c r="X69" s="64">
        <v>0</v>
      </c>
      <c r="Y69" s="64">
        <v>271.46</v>
      </c>
      <c r="Z69" s="175">
        <v>1927.57</v>
      </c>
    </row>
    <row r="70" spans="1:26" ht="12.75">
      <c r="A70" s="72">
        <v>41815</v>
      </c>
      <c r="B70" s="70">
        <v>2342.11</v>
      </c>
      <c r="C70" s="70">
        <v>289.32</v>
      </c>
      <c r="D70" s="70">
        <v>0</v>
      </c>
      <c r="E70" s="70">
        <v>421.58</v>
      </c>
      <c r="F70" s="70">
        <v>3053.01</v>
      </c>
      <c r="G70" s="61"/>
      <c r="H70" s="61"/>
      <c r="I70" s="81"/>
      <c r="J70" s="61"/>
      <c r="K70" s="72">
        <v>41815</v>
      </c>
      <c r="L70" s="175">
        <v>2365.79</v>
      </c>
      <c r="M70" s="64">
        <v>220.19</v>
      </c>
      <c r="N70" s="64">
        <v>0</v>
      </c>
      <c r="O70" s="64">
        <v>425.84</v>
      </c>
      <c r="P70" s="175">
        <v>3011.83</v>
      </c>
      <c r="Q70" s="16"/>
      <c r="R70" s="16"/>
      <c r="S70" s="16"/>
      <c r="T70" s="16"/>
      <c r="U70" s="72">
        <v>41593</v>
      </c>
      <c r="V70" s="175">
        <v>1514.11</v>
      </c>
      <c r="W70" s="64">
        <v>140.92</v>
      </c>
      <c r="X70" s="64">
        <v>0</v>
      </c>
      <c r="Y70" s="64">
        <v>272.54</v>
      </c>
      <c r="Z70" s="175">
        <v>1927.57</v>
      </c>
    </row>
    <row r="71" spans="1:26" ht="12.75">
      <c r="A71" s="72">
        <v>41845</v>
      </c>
      <c r="B71" s="70">
        <v>2351.39</v>
      </c>
      <c r="C71" s="70">
        <v>278.37</v>
      </c>
      <c r="D71" s="70">
        <v>0</v>
      </c>
      <c r="E71" s="70">
        <v>423.25</v>
      </c>
      <c r="F71" s="70">
        <v>3053.01</v>
      </c>
      <c r="G71" s="71"/>
      <c r="H71" s="71"/>
      <c r="I71" s="74"/>
      <c r="J71" s="61"/>
      <c r="K71" s="72">
        <v>41845</v>
      </c>
      <c r="L71" s="175">
        <v>2375.16</v>
      </c>
      <c r="M71" s="64">
        <v>209.14</v>
      </c>
      <c r="N71" s="64">
        <v>0</v>
      </c>
      <c r="O71" s="64">
        <v>427.53</v>
      </c>
      <c r="P71" s="175">
        <v>3011.83</v>
      </c>
      <c r="Q71" s="16"/>
      <c r="R71" s="16"/>
      <c r="S71" s="16"/>
      <c r="T71" s="16"/>
      <c r="U71" s="72">
        <v>41623</v>
      </c>
      <c r="V71" s="175">
        <v>1520.1</v>
      </c>
      <c r="W71" s="64">
        <v>133.85</v>
      </c>
      <c r="X71" s="64">
        <v>0</v>
      </c>
      <c r="Y71" s="64">
        <v>273.62</v>
      </c>
      <c r="Z71" s="175">
        <v>1927.57</v>
      </c>
    </row>
    <row r="72" spans="1:26" ht="12.75">
      <c r="A72" s="73" t="s">
        <v>36</v>
      </c>
      <c r="B72" s="70">
        <v>171610.17</v>
      </c>
      <c r="C72" s="70">
        <v>34680.56</v>
      </c>
      <c r="D72" s="70">
        <v>2700</v>
      </c>
      <c r="E72" s="70">
        <v>30889.83</v>
      </c>
      <c r="F72" s="70">
        <v>237180.56</v>
      </c>
      <c r="G72" s="71"/>
      <c r="H72" s="71"/>
      <c r="I72" s="74"/>
      <c r="J72" s="61"/>
      <c r="K72" s="176" t="s">
        <v>36</v>
      </c>
      <c r="L72" s="177">
        <v>169496.61</v>
      </c>
      <c r="M72" s="177">
        <v>30734.77</v>
      </c>
      <c r="N72" s="177">
        <v>2500</v>
      </c>
      <c r="O72" s="177">
        <v>30509.39</v>
      </c>
      <c r="P72" s="177">
        <v>230740.77</v>
      </c>
      <c r="Q72" s="174"/>
      <c r="R72" s="174"/>
      <c r="S72" s="174"/>
      <c r="T72" s="16"/>
      <c r="U72" s="176" t="s">
        <v>36</v>
      </c>
      <c r="V72" s="177">
        <v>108477.83</v>
      </c>
      <c r="W72" s="177">
        <v>19670.25</v>
      </c>
      <c r="X72" s="177">
        <v>2500</v>
      </c>
      <c r="Y72" s="177">
        <v>19526.01</v>
      </c>
      <c r="Z72" s="177">
        <v>147674.09</v>
      </c>
    </row>
    <row r="73" spans="1:2" ht="12.75">
      <c r="A73" s="4"/>
      <c r="B73" s="11"/>
    </row>
  </sheetData>
  <mergeCells count="6">
    <mergeCell ref="W2:W7"/>
    <mergeCell ref="X7:Y7"/>
    <mergeCell ref="C2:C7"/>
    <mergeCell ref="D7:E7"/>
    <mergeCell ref="M2:M7"/>
    <mergeCell ref="N7:O7"/>
  </mergeCells>
  <printOptions/>
  <pageMargins left="0.5905511811023623" right="1.86" top="0.6" bottom="0.47" header="0.39" footer="0.18"/>
  <pageSetup horizontalDpi="600" verticalDpi="600" orientation="portrait" paperSize="9" scale="70" r:id="rId2"/>
  <headerFooter alignWithMargins="0"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B1">
      <selection activeCell="B1" sqref="B1:I10"/>
    </sheetView>
  </sheetViews>
  <sheetFormatPr defaultColWidth="9.140625" defaultRowHeight="12.75"/>
  <cols>
    <col min="1" max="1" width="0" style="0" hidden="1" customWidth="1"/>
    <col min="2" max="2" width="18.8515625" style="0" customWidth="1"/>
    <col min="3" max="3" width="7.140625" style="0" customWidth="1"/>
    <col min="4" max="4" width="10.140625" style="0" customWidth="1"/>
    <col min="5" max="5" width="9.8515625" style="0" customWidth="1"/>
    <col min="6" max="6" width="10.8515625" style="0" customWidth="1"/>
    <col min="7" max="7" width="11.8515625" style="0" customWidth="1"/>
    <col min="8" max="8" width="11.421875" style="0" customWidth="1"/>
    <col min="10" max="10" width="0" style="0" hidden="1" customWidth="1"/>
  </cols>
  <sheetData>
    <row r="1" ht="15">
      <c r="B1" s="20" t="s">
        <v>134</v>
      </c>
    </row>
    <row r="2" ht="12.75">
      <c r="B2" t="s">
        <v>281</v>
      </c>
    </row>
    <row r="3" spans="2:8" ht="12.75">
      <c r="B3" s="61"/>
      <c r="C3" s="61"/>
      <c r="D3" s="87" t="s">
        <v>130</v>
      </c>
      <c r="E3" s="87"/>
      <c r="F3" s="87" t="s">
        <v>3</v>
      </c>
      <c r="G3" s="87"/>
      <c r="H3" s="61"/>
    </row>
    <row r="4" spans="1:8" ht="25.5">
      <c r="A4" t="s">
        <v>120</v>
      </c>
      <c r="B4" s="61"/>
      <c r="C4" s="61" t="s">
        <v>128</v>
      </c>
      <c r="D4" s="179" t="s">
        <v>131</v>
      </c>
      <c r="E4" s="179" t="s">
        <v>132</v>
      </c>
      <c r="F4" s="179" t="s">
        <v>131</v>
      </c>
      <c r="G4" s="179" t="s">
        <v>132</v>
      </c>
      <c r="H4" s="179" t="s">
        <v>133</v>
      </c>
    </row>
    <row r="5" spans="1:10" ht="12.75">
      <c r="A5" t="s">
        <v>121</v>
      </c>
      <c r="B5" s="61" t="s">
        <v>126</v>
      </c>
      <c r="C5" s="61">
        <f>ASUTAMISKULU!C16+ASUTAMISKULU!C17</f>
        <v>15</v>
      </c>
      <c r="D5" s="71">
        <v>35000</v>
      </c>
      <c r="E5" s="71">
        <v>7000</v>
      </c>
      <c r="F5" s="71">
        <f>$C$5*D5</f>
        <v>525000</v>
      </c>
      <c r="G5" s="71">
        <f>$C$5*E5</f>
        <v>105000</v>
      </c>
      <c r="H5" s="71">
        <f>SUM(F5:G5)</f>
        <v>630000</v>
      </c>
      <c r="J5" s="29" t="s">
        <v>120</v>
      </c>
    </row>
    <row r="6" spans="1:10" ht="12.75">
      <c r="A6" t="s">
        <v>122</v>
      </c>
      <c r="B6" s="61" t="s">
        <v>127</v>
      </c>
      <c r="C6" s="61">
        <f>ASUTAMISKULU!C18+ASUTAMISKULU!C19</f>
        <v>39</v>
      </c>
      <c r="D6" s="71">
        <v>30000</v>
      </c>
      <c r="E6" s="71">
        <v>7000</v>
      </c>
      <c r="F6" s="71">
        <f>$C$6*D6</f>
        <v>1170000</v>
      </c>
      <c r="G6" s="71">
        <f>$C$6*E6</f>
        <v>273000</v>
      </c>
      <c r="H6" s="71">
        <f>SUM(F6:G6)</f>
        <v>1443000</v>
      </c>
      <c r="J6" s="29" t="s">
        <v>121</v>
      </c>
    </row>
    <row r="7" spans="1:10" ht="12.75">
      <c r="A7" t="s">
        <v>123</v>
      </c>
      <c r="B7" s="61" t="s">
        <v>129</v>
      </c>
      <c r="C7" s="61">
        <v>3</v>
      </c>
      <c r="D7" s="71">
        <v>10000</v>
      </c>
      <c r="E7" s="91">
        <v>3000</v>
      </c>
      <c r="F7" s="71">
        <f>$C$7*D7</f>
        <v>30000</v>
      </c>
      <c r="G7" s="71">
        <f>$C$7*E7</f>
        <v>9000</v>
      </c>
      <c r="H7" s="71">
        <f>SUM(F7:G7)</f>
        <v>39000</v>
      </c>
      <c r="J7" s="29" t="s">
        <v>122</v>
      </c>
    </row>
    <row r="8" spans="1:10" ht="12.75">
      <c r="A8" t="s">
        <v>124</v>
      </c>
      <c r="B8" s="81" t="s">
        <v>3</v>
      </c>
      <c r="C8" s="81"/>
      <c r="D8" s="74"/>
      <c r="E8" s="74"/>
      <c r="F8" s="74">
        <f>SUM(F5:F7)</f>
        <v>1725000</v>
      </c>
      <c r="G8" s="74">
        <f>SUM(G5:G7)</f>
        <v>387000</v>
      </c>
      <c r="H8" s="74">
        <f>SUM(H5:H7)</f>
        <v>2112000</v>
      </c>
      <c r="J8" s="29" t="s">
        <v>199</v>
      </c>
    </row>
    <row r="9" spans="1:10" ht="12.75">
      <c r="A9" t="s">
        <v>125</v>
      </c>
      <c r="J9" s="29" t="s">
        <v>201</v>
      </c>
    </row>
    <row r="10" ht="12.75">
      <c r="J10" s="29" t="s">
        <v>200</v>
      </c>
    </row>
  </sheetData>
  <printOptions/>
  <pageMargins left="0.5905511811023623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5"/>
    </sheetView>
  </sheetViews>
  <sheetFormatPr defaultColWidth="9.140625" defaultRowHeight="12.75"/>
  <cols>
    <col min="1" max="1" width="23.140625" style="0" customWidth="1"/>
  </cols>
  <sheetData>
    <row r="1" ht="15">
      <c r="A1" s="20" t="s">
        <v>153</v>
      </c>
    </row>
    <row r="2" ht="14.25">
      <c r="A2" s="59" t="s">
        <v>281</v>
      </c>
    </row>
    <row r="3" spans="1:7" ht="12.75">
      <c r="A3" s="61" t="s">
        <v>100</v>
      </c>
      <c r="B3" s="94" t="s">
        <v>101</v>
      </c>
      <c r="C3" s="94" t="s">
        <v>49</v>
      </c>
      <c r="D3" s="94" t="s">
        <v>50</v>
      </c>
      <c r="E3" s="94" t="s">
        <v>51</v>
      </c>
      <c r="F3" s="94" t="s">
        <v>52</v>
      </c>
      <c r="G3" s="94" t="s">
        <v>3</v>
      </c>
    </row>
    <row r="4" spans="1:7" ht="12.75">
      <c r="A4" s="61" t="s">
        <v>154</v>
      </c>
      <c r="B4" s="71">
        <f>8000*6</f>
        <v>48000</v>
      </c>
      <c r="C4" s="71">
        <f>15000*12</f>
        <v>180000</v>
      </c>
      <c r="D4" s="71">
        <f>15000*12</f>
        <v>180000</v>
      </c>
      <c r="E4" s="71">
        <f>15000*12</f>
        <v>180000</v>
      </c>
      <c r="F4" s="71">
        <f>15000*12</f>
        <v>180000</v>
      </c>
      <c r="G4" s="71">
        <f>SUM(B4:F4)</f>
        <v>768000</v>
      </c>
    </row>
    <row r="5" spans="1:7" ht="25.5">
      <c r="A5" s="180" t="s">
        <v>291</v>
      </c>
      <c r="B5" s="71">
        <f>1125*8</f>
        <v>9000</v>
      </c>
      <c r="C5" s="71">
        <f>2250*12</f>
        <v>27000</v>
      </c>
      <c r="D5" s="71">
        <f>2250*12</f>
        <v>27000</v>
      </c>
      <c r="E5" s="71">
        <f>2250*12</f>
        <v>27000</v>
      </c>
      <c r="F5" s="71">
        <f>2250*12</f>
        <v>27000</v>
      </c>
      <c r="G5" s="71">
        <f aca="true" t="shared" si="0" ref="G5:G14">SUM(B5:F5)</f>
        <v>117000</v>
      </c>
    </row>
    <row r="6" spans="1:7" ht="12.75">
      <c r="A6" s="61" t="s">
        <v>196</v>
      </c>
      <c r="B6" s="71">
        <f>2966*7</f>
        <v>20762</v>
      </c>
      <c r="C6" s="71">
        <f>2750*12</f>
        <v>33000</v>
      </c>
      <c r="D6" s="71">
        <f>2750*12</f>
        <v>33000</v>
      </c>
      <c r="E6" s="71">
        <f>2750*12</f>
        <v>33000</v>
      </c>
      <c r="F6" s="71">
        <f>2750*12</f>
        <v>33000</v>
      </c>
      <c r="G6" s="71">
        <f t="shared" si="0"/>
        <v>152762</v>
      </c>
    </row>
    <row r="7" spans="1:7" ht="12.75">
      <c r="A7" s="61" t="s">
        <v>155</v>
      </c>
      <c r="B7" s="71">
        <f>11*1800</f>
        <v>19800</v>
      </c>
      <c r="C7" s="71"/>
      <c r="D7" s="71"/>
      <c r="E7" s="71"/>
      <c r="F7" s="71"/>
      <c r="G7" s="71">
        <f t="shared" si="0"/>
        <v>19800</v>
      </c>
    </row>
    <row r="8" spans="1:7" ht="12.75">
      <c r="A8" s="61" t="s">
        <v>256</v>
      </c>
      <c r="B8" s="71">
        <f>11*8300</f>
        <v>91300</v>
      </c>
      <c r="C8" s="71"/>
      <c r="D8" s="71"/>
      <c r="E8" s="71"/>
      <c r="F8" s="71"/>
      <c r="G8" s="71">
        <f t="shared" si="0"/>
        <v>91300</v>
      </c>
    </row>
    <row r="9" spans="1:7" ht="12.75">
      <c r="A9" s="61" t="s">
        <v>156</v>
      </c>
      <c r="B9" s="71">
        <v>12000</v>
      </c>
      <c r="C9" s="71"/>
      <c r="D9" s="71"/>
      <c r="E9" s="71"/>
      <c r="F9" s="71"/>
      <c r="G9" s="71">
        <f t="shared" si="0"/>
        <v>12000</v>
      </c>
    </row>
    <row r="10" spans="1:7" ht="12.75">
      <c r="A10" s="61" t="s">
        <v>157</v>
      </c>
      <c r="B10" s="71">
        <v>20000</v>
      </c>
      <c r="C10" s="71"/>
      <c r="D10" s="71"/>
      <c r="E10" s="71"/>
      <c r="F10" s="71"/>
      <c r="G10" s="71">
        <f t="shared" si="0"/>
        <v>20000</v>
      </c>
    </row>
    <row r="11" spans="1:7" ht="12.75">
      <c r="A11" s="61" t="s">
        <v>158</v>
      </c>
      <c r="B11" s="71">
        <v>15000</v>
      </c>
      <c r="C11" s="71"/>
      <c r="D11" s="71"/>
      <c r="E11" s="71"/>
      <c r="F11" s="71"/>
      <c r="G11" s="71">
        <f t="shared" si="0"/>
        <v>15000</v>
      </c>
    </row>
    <row r="12" spans="1:7" ht="12.75">
      <c r="A12" s="61" t="s">
        <v>159</v>
      </c>
      <c r="B12" s="71">
        <v>33000</v>
      </c>
      <c r="C12" s="71"/>
      <c r="D12" s="71"/>
      <c r="E12" s="71"/>
      <c r="F12" s="71"/>
      <c r="G12" s="71">
        <f t="shared" si="0"/>
        <v>33000</v>
      </c>
    </row>
    <row r="13" spans="1:7" ht="12.75">
      <c r="A13" s="61" t="s">
        <v>160</v>
      </c>
      <c r="B13" s="71">
        <v>15000</v>
      </c>
      <c r="C13" s="71"/>
      <c r="D13" s="71"/>
      <c r="E13" s="71"/>
      <c r="F13" s="71"/>
      <c r="G13" s="71">
        <f t="shared" si="0"/>
        <v>15000</v>
      </c>
    </row>
    <row r="14" spans="1:7" ht="12.75">
      <c r="A14" s="61" t="s">
        <v>3</v>
      </c>
      <c r="B14" s="71">
        <f>SUM(B3:B13)</f>
        <v>283862</v>
      </c>
      <c r="C14" s="71">
        <f>SUM(C4:C13)</f>
        <v>240000</v>
      </c>
      <c r="D14" s="71">
        <f>SUM(D4:D13)</f>
        <v>240000</v>
      </c>
      <c r="E14" s="71">
        <f>SUM(E4:E13)</f>
        <v>240000</v>
      </c>
      <c r="F14" s="71">
        <f>SUM(F4:F13)</f>
        <v>240000</v>
      </c>
      <c r="G14" s="71">
        <f t="shared" si="0"/>
        <v>1243862</v>
      </c>
    </row>
    <row r="15" spans="2:6" ht="12.75">
      <c r="B15" s="1"/>
      <c r="C15" s="1"/>
      <c r="D15" s="1"/>
      <c r="E15" s="1"/>
      <c r="F15" s="1"/>
    </row>
  </sheetData>
  <printOptions/>
  <pageMargins left="0.5905511811023623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K19" sqref="K19"/>
    </sheetView>
  </sheetViews>
  <sheetFormatPr defaultColWidth="9.140625" defaultRowHeight="12.75"/>
  <cols>
    <col min="1" max="1" width="33.28125" style="0" customWidth="1"/>
    <col min="2" max="2" width="7.8515625" style="0" customWidth="1"/>
    <col min="4" max="4" width="10.421875" style="0" customWidth="1"/>
  </cols>
  <sheetData>
    <row r="1" spans="1:2" ht="15">
      <c r="A1" s="20" t="s">
        <v>152</v>
      </c>
      <c r="B1" s="2"/>
    </row>
    <row r="2" spans="1:9" ht="12.75">
      <c r="A2" s="61" t="s">
        <v>281</v>
      </c>
      <c r="B2" s="61"/>
      <c r="C2" s="61"/>
      <c r="D2" s="94" t="s">
        <v>101</v>
      </c>
      <c r="E2" s="94" t="s">
        <v>49</v>
      </c>
      <c r="F2" s="94" t="s">
        <v>50</v>
      </c>
      <c r="G2" s="94" t="s">
        <v>51</v>
      </c>
      <c r="H2" s="94" t="s">
        <v>52</v>
      </c>
      <c r="I2" s="94" t="s">
        <v>3</v>
      </c>
    </row>
    <row r="3" spans="1:9" ht="12.75">
      <c r="A3" s="61" t="s">
        <v>142</v>
      </c>
      <c r="B3" s="61" t="s">
        <v>128</v>
      </c>
      <c r="C3" s="61" t="s">
        <v>143</v>
      </c>
      <c r="D3" s="61" t="s">
        <v>144</v>
      </c>
      <c r="E3" s="61"/>
      <c r="F3" s="61"/>
      <c r="G3" s="61"/>
      <c r="H3" s="61"/>
      <c r="I3" s="71">
        <f aca="true" t="shared" si="0" ref="I3:I14">SUM(D3:H3)</f>
        <v>0</v>
      </c>
    </row>
    <row r="4" spans="1:9" ht="12.75">
      <c r="A4" s="61" t="s">
        <v>145</v>
      </c>
      <c r="B4" s="71">
        <v>11</v>
      </c>
      <c r="C4" s="71">
        <f>4500/1.18</f>
        <v>3813.5593220338983</v>
      </c>
      <c r="D4" s="71">
        <f>C4*B4</f>
        <v>41949.15254237288</v>
      </c>
      <c r="E4" s="61"/>
      <c r="F4" s="61"/>
      <c r="G4" s="61"/>
      <c r="H4" s="61"/>
      <c r="I4" s="71">
        <f t="shared" si="0"/>
        <v>41949.15254237288</v>
      </c>
    </row>
    <row r="5" spans="1:9" ht="12.75">
      <c r="A5" s="61" t="s">
        <v>146</v>
      </c>
      <c r="B5" s="71">
        <v>11</v>
      </c>
      <c r="C5" s="71">
        <f>2600/1.18</f>
        <v>2203.389830508475</v>
      </c>
      <c r="D5" s="71">
        <f>C5*B5</f>
        <v>24237.288135593226</v>
      </c>
      <c r="E5" s="61"/>
      <c r="F5" s="61"/>
      <c r="G5" s="61"/>
      <c r="H5" s="61"/>
      <c r="I5" s="71">
        <f t="shared" si="0"/>
        <v>24237.288135593226</v>
      </c>
    </row>
    <row r="6" spans="1:9" ht="12.75">
      <c r="A6" s="61" t="s">
        <v>148</v>
      </c>
      <c r="B6" s="71">
        <v>11</v>
      </c>
      <c r="C6" s="71">
        <f>2000/1.18</f>
        <v>1694.9152542372883</v>
      </c>
      <c r="D6" s="71">
        <f>C6*B6</f>
        <v>18644.067796610172</v>
      </c>
      <c r="E6" s="61"/>
      <c r="F6" s="61"/>
      <c r="G6" s="61"/>
      <c r="H6" s="61"/>
      <c r="I6" s="71">
        <f t="shared" si="0"/>
        <v>18644.067796610172</v>
      </c>
    </row>
    <row r="7" spans="1:9" ht="12.75">
      <c r="A7" s="61" t="s">
        <v>147</v>
      </c>
      <c r="B7" s="61">
        <v>1</v>
      </c>
      <c r="C7" s="71">
        <f>3600/1.18</f>
        <v>3050.8474576271187</v>
      </c>
      <c r="D7" s="71">
        <f>C7*B7</f>
        <v>3050.8474576271187</v>
      </c>
      <c r="E7" s="61"/>
      <c r="F7" s="61"/>
      <c r="G7" s="61"/>
      <c r="H7" s="61"/>
      <c r="I7" s="71">
        <f t="shared" si="0"/>
        <v>3050.8474576271187</v>
      </c>
    </row>
    <row r="8" spans="1:9" ht="12.75">
      <c r="A8" s="61" t="s">
        <v>149</v>
      </c>
      <c r="B8" s="71">
        <v>11</v>
      </c>
      <c r="C8" s="71">
        <f>3500/1.18</f>
        <v>2966.1016949152545</v>
      </c>
      <c r="D8" s="71">
        <f aca="true" t="shared" si="1" ref="D8:D17">C8*B8</f>
        <v>32627.1186440678</v>
      </c>
      <c r="E8" s="61"/>
      <c r="F8" s="61"/>
      <c r="G8" s="61"/>
      <c r="H8" s="61"/>
      <c r="I8" s="71">
        <f t="shared" si="0"/>
        <v>32627.1186440678</v>
      </c>
    </row>
    <row r="9" spans="1:9" ht="12.75">
      <c r="A9" s="61" t="s">
        <v>149</v>
      </c>
      <c r="B9" s="71">
        <v>4</v>
      </c>
      <c r="C9" s="71">
        <f>550/1.18</f>
        <v>466.10169491525426</v>
      </c>
      <c r="D9" s="71">
        <f t="shared" si="1"/>
        <v>1864.406779661017</v>
      </c>
      <c r="E9" s="61"/>
      <c r="F9" s="61"/>
      <c r="G9" s="61"/>
      <c r="H9" s="61"/>
      <c r="I9" s="71">
        <f t="shared" si="0"/>
        <v>1864.406779661017</v>
      </c>
    </row>
    <row r="10" spans="1:9" ht="12.75">
      <c r="A10" s="61" t="s">
        <v>150</v>
      </c>
      <c r="B10" s="71">
        <v>2</v>
      </c>
      <c r="C10" s="71">
        <v>2500</v>
      </c>
      <c r="D10" s="71">
        <f t="shared" si="1"/>
        <v>5000</v>
      </c>
      <c r="E10" s="61"/>
      <c r="F10" s="61"/>
      <c r="G10" s="61"/>
      <c r="H10" s="61"/>
      <c r="I10" s="71">
        <f t="shared" si="0"/>
        <v>5000</v>
      </c>
    </row>
    <row r="11" spans="1:9" ht="12.75">
      <c r="A11" s="61" t="s">
        <v>151</v>
      </c>
      <c r="B11" s="71">
        <v>5</v>
      </c>
      <c r="C11" s="71">
        <f>2500/1.18</f>
        <v>2118.64406779661</v>
      </c>
      <c r="D11" s="71">
        <f t="shared" si="1"/>
        <v>10593.22033898305</v>
      </c>
      <c r="E11" s="61"/>
      <c r="F11" s="61"/>
      <c r="G11" s="61"/>
      <c r="H11" s="61"/>
      <c r="I11" s="71">
        <f t="shared" si="0"/>
        <v>10593.22033898305</v>
      </c>
    </row>
    <row r="12" spans="1:9" ht="12.75">
      <c r="A12" s="61" t="s">
        <v>161</v>
      </c>
      <c r="B12" s="71">
        <v>11</v>
      </c>
      <c r="C12" s="71">
        <v>400</v>
      </c>
      <c r="D12" s="71">
        <f t="shared" si="1"/>
        <v>4400</v>
      </c>
      <c r="E12" s="61"/>
      <c r="F12" s="61"/>
      <c r="G12" s="61"/>
      <c r="H12" s="61"/>
      <c r="I12" s="71">
        <f t="shared" si="0"/>
        <v>4400</v>
      </c>
    </row>
    <row r="13" spans="1:9" ht="12.75">
      <c r="A13" s="61" t="s">
        <v>162</v>
      </c>
      <c r="B13" s="71">
        <v>4</v>
      </c>
      <c r="C13" s="71">
        <v>4000</v>
      </c>
      <c r="D13" s="71">
        <f t="shared" si="1"/>
        <v>16000</v>
      </c>
      <c r="E13" s="61"/>
      <c r="F13" s="61"/>
      <c r="G13" s="61"/>
      <c r="H13" s="61"/>
      <c r="I13" s="71">
        <f t="shared" si="0"/>
        <v>16000</v>
      </c>
    </row>
    <row r="14" spans="1:9" ht="12.75">
      <c r="A14" s="61"/>
      <c r="B14" s="61"/>
      <c r="C14" s="71"/>
      <c r="D14" s="71">
        <f t="shared" si="1"/>
        <v>0</v>
      </c>
      <c r="E14" s="61"/>
      <c r="F14" s="61"/>
      <c r="G14" s="61"/>
      <c r="H14" s="61"/>
      <c r="I14" s="71">
        <f t="shared" si="0"/>
        <v>0</v>
      </c>
    </row>
    <row r="15" spans="1:9" ht="12.75">
      <c r="A15" s="61" t="s">
        <v>167</v>
      </c>
      <c r="B15" s="61"/>
      <c r="C15" s="71"/>
      <c r="D15" s="71">
        <v>150000</v>
      </c>
      <c r="E15" s="71">
        <v>30000</v>
      </c>
      <c r="F15" s="71">
        <v>30000</v>
      </c>
      <c r="G15" s="71">
        <v>30000</v>
      </c>
      <c r="H15" s="71">
        <v>30000</v>
      </c>
      <c r="I15" s="71">
        <f>SUM(D15:H15)</f>
        <v>270000</v>
      </c>
    </row>
    <row r="16" spans="1:9" ht="12.75">
      <c r="A16" s="61"/>
      <c r="B16" s="61"/>
      <c r="C16" s="71"/>
      <c r="D16" s="71">
        <f t="shared" si="1"/>
        <v>0</v>
      </c>
      <c r="E16" s="71"/>
      <c r="F16" s="71"/>
      <c r="G16" s="71"/>
      <c r="H16" s="71"/>
      <c r="I16" s="71"/>
    </row>
    <row r="17" spans="1:9" ht="12.75">
      <c r="A17" s="181" t="s">
        <v>218</v>
      </c>
      <c r="B17" s="61"/>
      <c r="C17" s="71"/>
      <c r="D17" s="88">
        <f t="shared" si="1"/>
        <v>0</v>
      </c>
      <c r="E17" s="71"/>
      <c r="F17" s="71"/>
      <c r="G17" s="71"/>
      <c r="H17" s="71"/>
      <c r="I17" s="71"/>
    </row>
    <row r="18" spans="1:9" ht="12.75">
      <c r="A18" s="81" t="s">
        <v>3</v>
      </c>
      <c r="B18" s="81"/>
      <c r="C18" s="74"/>
      <c r="D18" s="74">
        <f>SUM(D4:D17)</f>
        <v>308366.10169491527</v>
      </c>
      <c r="E18" s="74">
        <f>SUM(E4:E17)</f>
        <v>30000</v>
      </c>
      <c r="F18" s="74">
        <f>SUM(F4:F17)</f>
        <v>30000</v>
      </c>
      <c r="G18" s="74">
        <f>SUM(G4:G17)</f>
        <v>30000</v>
      </c>
      <c r="H18" s="74">
        <f>SUM(H4:H17)</f>
        <v>30000</v>
      </c>
      <c r="I18" s="74">
        <f>SUM(D18:H18)</f>
        <v>428366.10169491527</v>
      </c>
    </row>
    <row r="19" spans="1:9" ht="12.75">
      <c r="A19" s="61"/>
      <c r="B19" s="61"/>
      <c r="C19" s="71"/>
      <c r="D19" s="71"/>
      <c r="E19" s="71"/>
      <c r="F19" s="71"/>
      <c r="G19" s="71"/>
      <c r="H19" s="71"/>
      <c r="I19" s="74"/>
    </row>
    <row r="20" spans="1:9" ht="12.75">
      <c r="A20" s="61" t="s">
        <v>168</v>
      </c>
      <c r="B20" s="61"/>
      <c r="C20" s="71"/>
      <c r="D20" s="71">
        <v>500000</v>
      </c>
      <c r="E20" s="71">
        <v>700000</v>
      </c>
      <c r="F20" s="71">
        <v>700000</v>
      </c>
      <c r="G20" s="71">
        <v>700000</v>
      </c>
      <c r="H20" s="71">
        <v>700000</v>
      </c>
      <c r="I20" s="182">
        <f>SUM(D20:H20)</f>
        <v>3300000</v>
      </c>
    </row>
    <row r="21" spans="1:9" ht="12.75">
      <c r="A21" s="61" t="s">
        <v>170</v>
      </c>
      <c r="B21" s="61"/>
      <c r="C21" s="71"/>
      <c r="D21" s="71">
        <v>40000</v>
      </c>
      <c r="E21" s="71">
        <v>80000</v>
      </c>
      <c r="F21" s="71">
        <v>80000</v>
      </c>
      <c r="G21" s="71">
        <v>80000</v>
      </c>
      <c r="H21" s="71">
        <v>80000</v>
      </c>
      <c r="I21" s="182">
        <f>SUM(D21:H21)</f>
        <v>360000</v>
      </c>
    </row>
    <row r="22" spans="1:9" ht="12.75">
      <c r="A22" s="61" t="s">
        <v>169</v>
      </c>
      <c r="B22" s="61"/>
      <c r="C22" s="71"/>
      <c r="D22" s="71">
        <v>50000</v>
      </c>
      <c r="E22" s="71">
        <v>100000</v>
      </c>
      <c r="F22" s="71">
        <v>100000</v>
      </c>
      <c r="G22" s="71">
        <v>100000</v>
      </c>
      <c r="H22" s="71">
        <v>100000</v>
      </c>
      <c r="I22" s="182">
        <f>SUM(D22:H22)</f>
        <v>450000</v>
      </c>
    </row>
    <row r="23" spans="1:9" ht="12.75">
      <c r="A23" s="81" t="s">
        <v>3</v>
      </c>
      <c r="B23" s="81"/>
      <c r="C23" s="81"/>
      <c r="D23" s="74">
        <f>SUM(D20:D22)</f>
        <v>590000</v>
      </c>
      <c r="E23" s="74">
        <f>SUM(E20:E22)</f>
        <v>880000</v>
      </c>
      <c r="F23" s="74">
        <f>SUM(F20:F22)</f>
        <v>880000</v>
      </c>
      <c r="G23" s="74">
        <f>SUM(G20:G22)</f>
        <v>880000</v>
      </c>
      <c r="H23" s="74">
        <f>SUM(H20:H22)</f>
        <v>880000</v>
      </c>
      <c r="I23" s="74">
        <f>SUM(D23:H23)</f>
        <v>4110000</v>
      </c>
    </row>
    <row r="24" spans="1:9" ht="12.75">
      <c r="A24" s="61"/>
      <c r="B24" s="61"/>
      <c r="C24" s="61"/>
      <c r="D24" s="71"/>
      <c r="E24" s="71"/>
      <c r="F24" s="71"/>
      <c r="G24" s="71"/>
      <c r="H24" s="71"/>
      <c r="I24" s="74"/>
    </row>
    <row r="25" spans="1:9" ht="12.75">
      <c r="A25" s="81" t="s">
        <v>178</v>
      </c>
      <c r="B25" s="81"/>
      <c r="C25" s="81"/>
      <c r="D25" s="74">
        <v>20000</v>
      </c>
      <c r="E25" s="74">
        <v>20000</v>
      </c>
      <c r="F25" s="74">
        <v>20000</v>
      </c>
      <c r="G25" s="74">
        <v>20000</v>
      </c>
      <c r="H25" s="74">
        <v>20000</v>
      </c>
      <c r="I25" s="74">
        <f>SUM(D25:H25)</f>
        <v>100000</v>
      </c>
    </row>
    <row r="26" spans="1:9" ht="12.75">
      <c r="A26" s="61"/>
      <c r="B26" s="61"/>
      <c r="C26" s="61"/>
      <c r="D26" s="71"/>
      <c r="E26" s="71"/>
      <c r="F26" s="71"/>
      <c r="G26" s="71"/>
      <c r="H26" s="71"/>
      <c r="I26" s="74"/>
    </row>
    <row r="27" spans="1:9" ht="12.75">
      <c r="A27" s="81" t="s">
        <v>137</v>
      </c>
      <c r="B27" s="61"/>
      <c r="C27" s="61"/>
      <c r="D27" s="74">
        <f>D18+D23+D25</f>
        <v>918366.1016949152</v>
      </c>
      <c r="E27" s="74">
        <f>E18+E23+E25</f>
        <v>930000</v>
      </c>
      <c r="F27" s="74">
        <f>F18+F23+F25</f>
        <v>930000</v>
      </c>
      <c r="G27" s="74">
        <f>G18+G23+G25</f>
        <v>930000</v>
      </c>
      <c r="H27" s="74">
        <f>H18+H23+H25</f>
        <v>930000</v>
      </c>
      <c r="I27" s="74">
        <f>SUM(D27:H27)</f>
        <v>4638366.101694915</v>
      </c>
    </row>
    <row r="28" ht="12.75">
      <c r="I28" s="2"/>
    </row>
  </sheetData>
  <printOptions/>
  <pageMargins left="0.5905511811023623" right="0.35433070866141736" top="0.984251968503937" bottom="0.984251968503937" header="0.5118110236220472" footer="0.5118110236220472"/>
  <pageSetup horizontalDpi="600" verticalDpi="600" orientation="portrait" paperSize="9" scale="80" r:id="rId3"/>
  <headerFooter alignWithMargins="0">
    <oddHeader>&amp;C&amp;A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Margus Hanson</cp:lastModifiedBy>
  <cp:lastPrinted>2008-12-08T08:19:40Z</cp:lastPrinted>
  <dcterms:created xsi:type="dcterms:W3CDTF">1996-10-14T23:33:28Z</dcterms:created>
  <dcterms:modified xsi:type="dcterms:W3CDTF">2008-12-08T10:32:55Z</dcterms:modified>
  <cp:category/>
  <cp:version/>
  <cp:contentType/>
  <cp:contentStatus/>
</cp:coreProperties>
</file>