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5" activeTab="0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 5 (invest)" sheetId="5" r:id="rId5"/>
    <sheet name="lisa6(kohust)" sheetId="6" r:id="rId6"/>
    <sheet name="Lisa 7 (kululiik)" sheetId="7" r:id="rId7"/>
  </sheets>
  <definedNames>
    <definedName name="Excel_BuiltIn__FilterDatabase_3">'lisa 3 (Kulud)'!$A$1:$E$48</definedName>
    <definedName name="Excel_BuiltIn__FilterDatabase_4">'lisa 4 (tulude,kulude jaotus)'!$A$11:$F$18</definedName>
    <definedName name="Prinditiitlid_3">'lisa 3 (Kulud)'!$4:$4</definedName>
    <definedName name="Prinditiitlid_4">'lisa 4 (tulude,kulude jaotus)'!$4:$4</definedName>
    <definedName name="Prinditiitlid_6">'lisa6(kohust)'!$3:$3</definedName>
  </definedNames>
  <calcPr fullCalcOnLoad="1"/>
</workbook>
</file>

<file path=xl/sharedStrings.xml><?xml version="1.0" encoding="utf-8"?>
<sst xmlns="http://schemas.openxmlformats.org/spreadsheetml/2006/main" count="1718" uniqueCount="701">
  <si>
    <t>Tartu linna 2012. a  
 KOONDEELARVE</t>
  </si>
  <si>
    <t>eurodes</t>
  </si>
  <si>
    <t>PÕHITEGEVUSE TULUD</t>
  </si>
  <si>
    <t>Maksud</t>
  </si>
  <si>
    <t>Kaupade ja teenuste müük</t>
  </si>
  <si>
    <t>Saadavad toetused jooksvateks kuludeks</t>
  </si>
  <si>
    <t>Muud tegevustulud</t>
  </si>
  <si>
    <t>PÕHITEGEVUSE KULUD</t>
  </si>
  <si>
    <t>Üldised valitsussektori teenused</t>
  </si>
  <si>
    <t xml:space="preserve">    sh reservfond</t>
  </si>
  <si>
    <t>Avalik kord</t>
  </si>
  <si>
    <t>Majandus</t>
  </si>
  <si>
    <t>Keskkonnakaitse</t>
  </si>
  <si>
    <t>Elamu- ja kommunaalmajandus</t>
  </si>
  <si>
    <t>Tervishoid</t>
  </si>
  <si>
    <t>Vaba aeg ja kultuur</t>
  </si>
  <si>
    <t>Haridus</t>
  </si>
  <si>
    <t>Sotsiaalne kaitse</t>
  </si>
  <si>
    <t>INVESTEERIMISTEGEVUSE TULUD</t>
  </si>
  <si>
    <t>Põhivara müük</t>
  </si>
  <si>
    <t>Saadavad toetused põhivara soetuseks</t>
  </si>
  <si>
    <t>Finantstulud</t>
  </si>
  <si>
    <t>INVESTEERIMISTEGEVUSE KULUD</t>
  </si>
  <si>
    <t>EELARVE TULEM (ülejääk (+), puudujääk (-))</t>
  </si>
  <si>
    <t>FINANTSEERIMISTEGEVUS</t>
  </si>
  <si>
    <t>Kohustuste võtmine (+)</t>
  </si>
  <si>
    <t>Kohustuste tasumine (-)</t>
  </si>
  <si>
    <r>
      <t xml:space="preserve">LIKVIIDSETE VARADE MUUTUS
</t>
    </r>
    <r>
      <rPr>
        <sz val="10"/>
        <rFont val="Arial"/>
        <family val="2"/>
      </rPr>
      <t>suurenemine (+), vähenemine (-)</t>
    </r>
  </si>
  <si>
    <t>EELARVE KOGUMAHT</t>
  </si>
  <si>
    <t>Tartu linna 2012. a eelarve</t>
  </si>
  <si>
    <t>T U L U B A A S</t>
  </si>
  <si>
    <t>finantseerimis-
eelarve</t>
  </si>
  <si>
    <t>majandamis-
eelarve</t>
  </si>
  <si>
    <t>kokku</t>
  </si>
  <si>
    <t>1.1</t>
  </si>
  <si>
    <t xml:space="preserve">PÕHITEGEVUSE TULUD </t>
  </si>
  <si>
    <t>1.1.1</t>
  </si>
  <si>
    <t>1.1.1.1</t>
  </si>
  <si>
    <t xml:space="preserve">   Füüsilise isiku tulumaks</t>
  </si>
  <si>
    <t>1.1.1.2</t>
  </si>
  <si>
    <t xml:space="preserve">   Maamaks</t>
  </si>
  <si>
    <t>1.1.1.3</t>
  </si>
  <si>
    <t xml:space="preserve">   Reklaamimaks</t>
  </si>
  <si>
    <t>1.1.1.4</t>
  </si>
  <si>
    <t xml:space="preserve">   Teede ja tänavate sulgemise maks</t>
  </si>
  <si>
    <t>1.1.1.5</t>
  </si>
  <si>
    <t xml:space="preserve">   Parkimistasu</t>
  </si>
  <si>
    <t>1.1.2</t>
  </si>
  <si>
    <t>1.1.2.1</t>
  </si>
  <si>
    <t xml:space="preserve">   Riigilõivud</t>
  </si>
  <si>
    <t>1.1.2.2</t>
  </si>
  <si>
    <t xml:space="preserve">   Laekumised majandustegevusest</t>
  </si>
  <si>
    <t>1.1.2.2.1</t>
  </si>
  <si>
    <t xml:space="preserve">      Tulud haridusalasest tegevusest</t>
  </si>
  <si>
    <t>1.1.2.2.2</t>
  </si>
  <si>
    <t xml:space="preserve">      Tulud kultuuri- ja kunstialasest
       tegevusest</t>
  </si>
  <si>
    <t>1.1.2.2.3</t>
  </si>
  <si>
    <t xml:space="preserve">      Tulud spordi- ja puhkealasest
      tegevusest    </t>
  </si>
  <si>
    <t>1.1.2.2.4</t>
  </si>
  <si>
    <t xml:space="preserve">      Tulud keskkonnaalasest tegevusest</t>
  </si>
  <si>
    <t>1.1.2.2.5</t>
  </si>
  <si>
    <t xml:space="preserve">      Tulud sotsiaalabialasest tegevusest</t>
  </si>
  <si>
    <t>1.1.2.2.6</t>
  </si>
  <si>
    <t xml:space="preserve">      Üldvalitsemise tulud</t>
  </si>
  <si>
    <t>1.1.2.2.7</t>
  </si>
  <si>
    <t xml:space="preserve">      Tulud transporditegevusest</t>
  </si>
  <si>
    <t>1.1.2.3</t>
  </si>
  <si>
    <t xml:space="preserve">   Üür ja rent</t>
  </si>
  <si>
    <t>1.1.2.4</t>
  </si>
  <si>
    <t xml:space="preserve">   Õiguste müük</t>
  </si>
  <si>
    <t>1.1.2.5</t>
  </si>
  <si>
    <t xml:space="preserve">   Muu toodete ja teenuste müük</t>
  </si>
  <si>
    <t>1.1.3</t>
  </si>
  <si>
    <t>Saadavad toetused</t>
  </si>
  <si>
    <t>1.1.3.1</t>
  </si>
  <si>
    <t xml:space="preserve">   Saadud toetused tegevuskuludeks </t>
  </si>
  <si>
    <t>1.1.3.2</t>
  </si>
  <si>
    <t xml:space="preserve">   Mittesihtotstarbelised toetused</t>
  </si>
  <si>
    <t>1.1.4</t>
  </si>
  <si>
    <t>1.1.4.1</t>
  </si>
  <si>
    <t xml:space="preserve">   Trahvid</t>
  </si>
  <si>
    <t>1.1.4.2</t>
  </si>
  <si>
    <t xml:space="preserve">   Saastetasud</t>
  </si>
  <si>
    <t>1.1.4.3</t>
  </si>
  <si>
    <t xml:space="preserve">   Laekumised vee erikasutusest</t>
  </si>
  <si>
    <t xml:space="preserve">1.2 </t>
  </si>
  <si>
    <t>1.2.1</t>
  </si>
  <si>
    <t>Tulud varadelt</t>
  </si>
  <si>
    <t>1.2.1.1</t>
  </si>
  <si>
    <t xml:space="preserve">   Intressi- ja viivisetulud</t>
  </si>
  <si>
    <t>1.2.1.2</t>
  </si>
  <si>
    <t xml:space="preserve">   Dividendid</t>
  </si>
  <si>
    <t>1.2.1.3</t>
  </si>
  <si>
    <t xml:space="preserve">   Materiaalsete varade müük</t>
  </si>
  <si>
    <t>1.2.1.4</t>
  </si>
  <si>
    <t xml:space="preserve">   Maa müük</t>
  </si>
  <si>
    <t>1.2.2</t>
  </si>
  <si>
    <t>1.2.2.1</t>
  </si>
  <si>
    <t xml:space="preserve">   Põhivara soetuseks saadav sihtfinant-
   seerimine</t>
  </si>
  <si>
    <t>1.3</t>
  </si>
  <si>
    <t>1.3.1</t>
  </si>
  <si>
    <t xml:space="preserve">   Kohustuste võtmine</t>
  </si>
  <si>
    <t>1.4</t>
  </si>
  <si>
    <t>LIKVIIDSETE VARADE MUUTUS</t>
  </si>
  <si>
    <t xml:space="preserve">LINNA TULUBAAS  </t>
  </si>
  <si>
    <t>TARTU LINNA 2012. a KULUD</t>
  </si>
  <si>
    <t>VALDKONDADE  JA VAHENDITE KÄSUTAJATE lõikes</t>
  </si>
  <si>
    <t>K U L U D KOKKU</t>
  </si>
  <si>
    <t>2.1</t>
  </si>
  <si>
    <t xml:space="preserve">   sh: volikogu kantselei</t>
  </si>
  <si>
    <t xml:space="preserve">         linnakantselei</t>
  </si>
  <si>
    <t xml:space="preserve">         osakonnad</t>
  </si>
  <si>
    <t xml:space="preserve">         laenudega kaasnevad kulud</t>
  </si>
  <si>
    <t xml:space="preserve">         üldised personaliteenused</t>
  </si>
  <si>
    <t xml:space="preserve">         reservfond</t>
  </si>
  <si>
    <t>2.2</t>
  </si>
  <si>
    <t xml:space="preserve">   sh: linnakantselei</t>
  </si>
  <si>
    <t xml:space="preserve">        linnamajanduse osakond</t>
  </si>
  <si>
    <t xml:space="preserve">        rahandusosakond</t>
  </si>
  <si>
    <t>2.3</t>
  </si>
  <si>
    <t xml:space="preserve">   sh: arhitektuuri ja ehituse osakond</t>
  </si>
  <si>
    <t xml:space="preserve">        avalike suhete osakond</t>
  </si>
  <si>
    <t xml:space="preserve">        ettevõtluse osakond</t>
  </si>
  <si>
    <t xml:space="preserve">        linnaplaneerimise ja maakorralduse osakond</t>
  </si>
  <si>
    <t xml:space="preserve">        linnavarade osakond</t>
  </si>
  <si>
    <t>2.4</t>
  </si>
  <si>
    <t xml:space="preserve">   sh: linnamajanduse osakond</t>
  </si>
  <si>
    <t>2.5</t>
  </si>
  <si>
    <t>2.6</t>
  </si>
  <si>
    <t xml:space="preserve">   sh: tervishoiuosakond</t>
  </si>
  <si>
    <t>2.7</t>
  </si>
  <si>
    <t xml:space="preserve">        arhitektuuri ja ehituse osakond</t>
  </si>
  <si>
    <t xml:space="preserve">        kultuuriosakond</t>
  </si>
  <si>
    <t>2.8</t>
  </si>
  <si>
    <t xml:space="preserve">        haridusosakond</t>
  </si>
  <si>
    <t>2.9</t>
  </si>
  <si>
    <t xml:space="preserve">    sh: linnakantselei</t>
  </si>
  <si>
    <t xml:space="preserve">         linnavarade osakond</t>
  </si>
  <si>
    <t xml:space="preserve">         sotsiaalabi osakond</t>
  </si>
  <si>
    <t xml:space="preserve">         rahandusosakond</t>
  </si>
  <si>
    <t>Tartu linna 2012. a eelarve tulude ja kulude jaotus</t>
  </si>
  <si>
    <t>KASUTAJATE JA TEGEVUSALADE lõikes</t>
  </si>
  <si>
    <t>jrk
nr</t>
  </si>
  <si>
    <t>klassif</t>
  </si>
  <si>
    <t>TULUD, KULUD</t>
  </si>
  <si>
    <t>TULUBAAS KOKKU</t>
  </si>
  <si>
    <t>KULUD KOKKU</t>
  </si>
  <si>
    <t>sh: põhitegevuse kulud</t>
  </si>
  <si>
    <t xml:space="preserve">     investeerimistegevuse kulud</t>
  </si>
  <si>
    <t xml:space="preserve">     finantseerimistegevuse kulud</t>
  </si>
  <si>
    <t>3.1</t>
  </si>
  <si>
    <t>VOLIKOGU KANTSELEI</t>
  </si>
  <si>
    <t>Tulud kokku</t>
  </si>
  <si>
    <t>Kulud kokku</t>
  </si>
  <si>
    <t>3.1.1</t>
  </si>
  <si>
    <t>3.1.1.1</t>
  </si>
  <si>
    <t>01111</t>
  </si>
  <si>
    <t>Linnavolikogu ja kantselei</t>
  </si>
  <si>
    <t>Tulud</t>
  </si>
  <si>
    <t>Finantseerimiseelarve</t>
  </si>
  <si>
    <t>Kulud</t>
  </si>
  <si>
    <t>põhitegevuse kulud</t>
  </si>
  <si>
    <t>3.2</t>
  </si>
  <si>
    <t>LINNAKANTSELEI</t>
  </si>
  <si>
    <t>3.2.1</t>
  </si>
  <si>
    <t>3.2.1.1</t>
  </si>
  <si>
    <t>01112</t>
  </si>
  <si>
    <t>Linnakantselei</t>
  </si>
  <si>
    <t>investeerimistegevuse kulud</t>
  </si>
  <si>
    <t>3.2.1.2</t>
  </si>
  <si>
    <t>01600</t>
  </si>
  <si>
    <t>Liikmemaks ja ühistegevuskulud</t>
  </si>
  <si>
    <t>3.2.2</t>
  </si>
  <si>
    <t>3.2.2.1</t>
  </si>
  <si>
    <t>03600</t>
  </si>
  <si>
    <t>Muu avalik kord</t>
  </si>
  <si>
    <t>3.2.3</t>
  </si>
  <si>
    <t>3.2.3.1</t>
  </si>
  <si>
    <t>08600</t>
  </si>
  <si>
    <t>Muu vaba aeg ja kultuur</t>
  </si>
  <si>
    <t>3.2.4</t>
  </si>
  <si>
    <t>3.2.4.1</t>
  </si>
  <si>
    <t>09110</t>
  </si>
  <si>
    <t>Lasteaiad</t>
  </si>
  <si>
    <t>3.2.4.2</t>
  </si>
  <si>
    <t>09220</t>
  </si>
  <si>
    <t>Gümnaasiumid</t>
  </si>
  <si>
    <t>3.2.4.3</t>
  </si>
  <si>
    <t>09222</t>
  </si>
  <si>
    <t>Kutsehariduskeskus</t>
  </si>
  <si>
    <t>sh toetused tegevuskuludeks</t>
  </si>
  <si>
    <t>3.2.5</t>
  </si>
  <si>
    <t>3.2.5.1</t>
  </si>
  <si>
    <t>Eakate sotsiaalne kaitse</t>
  </si>
  <si>
    <t>3.3</t>
  </si>
  <si>
    <t>ARHITEKTUURI JA EHITUSE 
OSAKOND</t>
  </si>
  <si>
    <t xml:space="preserve">     investeerimisetegevuse kulud</t>
  </si>
  <si>
    <t>3.3.1</t>
  </si>
  <si>
    <t>3.3.1.1</t>
  </si>
  <si>
    <t>Osakonna teenistused</t>
  </si>
  <si>
    <t>3.3.2</t>
  </si>
  <si>
    <t>3.3.2.1</t>
  </si>
  <si>
    <t>04740</t>
  </si>
  <si>
    <t>Üldmajanduslikud arendusprojektid
(arhitektuur)</t>
  </si>
  <si>
    <t>3.3.2.2</t>
  </si>
  <si>
    <t>04900</t>
  </si>
  <si>
    <t>Muu majandus (linnakujundus)</t>
  </si>
  <si>
    <t>3.3.3</t>
  </si>
  <si>
    <t>3.3.3.1</t>
  </si>
  <si>
    <t>08207</t>
  </si>
  <si>
    <t>Muinsuskaitse</t>
  </si>
  <si>
    <t>3.4</t>
  </si>
  <si>
    <t>AVALIKE SUHETE OSAKOND</t>
  </si>
  <si>
    <t>3.4.1</t>
  </si>
  <si>
    <t>3.4.1.1</t>
  </si>
  <si>
    <t>3.4.1.2</t>
  </si>
  <si>
    <t>3.4.2</t>
  </si>
  <si>
    <t>3.4.2.1</t>
  </si>
  <si>
    <t>04540</t>
  </si>
  <si>
    <t>Õhutransport</t>
  </si>
  <si>
    <t>3.4.2.2</t>
  </si>
  <si>
    <t>04730</t>
  </si>
  <si>
    <t>Turism</t>
  </si>
  <si>
    <t>Toetused tegevuskuludeks</t>
  </si>
  <si>
    <t>3.5</t>
  </si>
  <si>
    <t>ETTEVÕTLUSE OSAKOND</t>
  </si>
  <si>
    <t>3.5.1</t>
  </si>
  <si>
    <t>3.5.1.1</t>
  </si>
  <si>
    <t>3.5.2</t>
  </si>
  <si>
    <t>3.5.2.1</t>
  </si>
  <si>
    <t>Üldmajanduslikud arendusprojektid</t>
  </si>
  <si>
    <t>Üldvalitsemise tulud</t>
  </si>
  <si>
    <t>3.5.3</t>
  </si>
  <si>
    <t>3.5.3.1</t>
  </si>
  <si>
    <t>08208</t>
  </si>
  <si>
    <t>Kultuuriüritused (laadad)</t>
  </si>
  <si>
    <t>3.6</t>
  </si>
  <si>
    <t>HARIDUSOSAKOND</t>
  </si>
  <si>
    <t>3.6.1</t>
  </si>
  <si>
    <t>3.6.1.1</t>
  </si>
  <si>
    <t>3.6.1.2</t>
  </si>
  <si>
    <t>01700</t>
  </si>
  <si>
    <t>Valitsussektori võla teenindamine</t>
  </si>
  <si>
    <t>finantseerimistegevuse kulud</t>
  </si>
  <si>
    <t>3.6.2</t>
  </si>
  <si>
    <t>3.6.2.1</t>
  </si>
  <si>
    <t>sh: mittesihtostarbelised toetused</t>
  </si>
  <si>
    <t>Tulud haridusalasest tegevusest</t>
  </si>
  <si>
    <t>3.6.2.2</t>
  </si>
  <si>
    <t>09212</t>
  </si>
  <si>
    <t>Põhikoolid</t>
  </si>
  <si>
    <t>Üür ja rent</t>
  </si>
  <si>
    <t>3.6.2.3</t>
  </si>
  <si>
    <t>3.6.2.4</t>
  </si>
  <si>
    <t>09221</t>
  </si>
  <si>
    <t>Täiskasvanute gümnaasium</t>
  </si>
  <si>
    <t>3.6.2.5</t>
  </si>
  <si>
    <t xml:space="preserve">     toetused põhivara soetuseks </t>
  </si>
  <si>
    <t>3.6.2.6</t>
  </si>
  <si>
    <t>09500</t>
  </si>
  <si>
    <t>Maarja Kool</t>
  </si>
  <si>
    <t>3.6.2.7</t>
  </si>
  <si>
    <t>09601</t>
  </si>
  <si>
    <t>Hariduse abiteenused</t>
  </si>
  <si>
    <t>3.7</t>
  </si>
  <si>
    <t>KULTUURIOSAKOND</t>
  </si>
  <si>
    <t>3.7.1</t>
  </si>
  <si>
    <t>3.7.1.1</t>
  </si>
  <si>
    <t>3.7.1.2</t>
  </si>
  <si>
    <t>3.7.2</t>
  </si>
  <si>
    <t>3.7.2.1</t>
  </si>
  <si>
    <t>08101</t>
  </si>
  <si>
    <t>Noortesport</t>
  </si>
  <si>
    <t>3.7.2.2</t>
  </si>
  <si>
    <t>08102</t>
  </si>
  <si>
    <t>Spordibaasid</t>
  </si>
  <si>
    <t>3.7.2.3</t>
  </si>
  <si>
    <t>08103</t>
  </si>
  <si>
    <t>Puhkepargid</t>
  </si>
  <si>
    <t>3.7.2.4</t>
  </si>
  <si>
    <t>08105</t>
  </si>
  <si>
    <t>Laste muusika- ja kunstikoolid, muud huvikoolid</t>
  </si>
  <si>
    <t>Tulud kultuuri- ja kunstialasest tegevusest</t>
  </si>
  <si>
    <t>3.7.2.5</t>
  </si>
  <si>
    <t>08106</t>
  </si>
  <si>
    <t>Laste huvialamajad ja -keskused</t>
  </si>
  <si>
    <t>Tulud spordi- ja puhkealasest tegevusest</t>
  </si>
  <si>
    <t>3.7.2.6</t>
  </si>
  <si>
    <t>08107</t>
  </si>
  <si>
    <t>Noorsootöö (noortelaagrid)</t>
  </si>
  <si>
    <t>3.7.2.7</t>
  </si>
  <si>
    <t>08108</t>
  </si>
  <si>
    <t>Täiskasvanute huvialaasutused</t>
  </si>
  <si>
    <t>3.7.2.8</t>
  </si>
  <si>
    <t>08109</t>
  </si>
  <si>
    <t>Noorsoo- ja spordiprojektid</t>
  </si>
  <si>
    <t>3.7.2.9</t>
  </si>
  <si>
    <t>08201</t>
  </si>
  <si>
    <t>Raamatukogud</t>
  </si>
  <si>
    <t xml:space="preserve">  sh toetus tegevuskuludeks</t>
  </si>
  <si>
    <t>3.7.2.10</t>
  </si>
  <si>
    <t>08202</t>
  </si>
  <si>
    <t>Tiigi Seltsimaja</t>
  </si>
  <si>
    <t>3.7.2.11</t>
  </si>
  <si>
    <t>08203</t>
  </si>
  <si>
    <t>Muuseumid</t>
  </si>
  <si>
    <t>3.7.2.12</t>
  </si>
  <si>
    <t>3.7.2.13</t>
  </si>
  <si>
    <t>Kultuuriüritused</t>
  </si>
  <si>
    <t>3.7.2.14</t>
  </si>
  <si>
    <t>08209</t>
  </si>
  <si>
    <t>Seltsitegevus</t>
  </si>
  <si>
    <t>3.7.2.15</t>
  </si>
  <si>
    <t>08300</t>
  </si>
  <si>
    <t>Kirjastused</t>
  </si>
  <si>
    <t>3.7.2.16</t>
  </si>
  <si>
    <t>3.8</t>
  </si>
  <si>
    <t>LINNAMAJANDUSE OSAKOND</t>
  </si>
  <si>
    <t>3.8.1</t>
  </si>
  <si>
    <t>3.8.1.1</t>
  </si>
  <si>
    <t>3.8.2</t>
  </si>
  <si>
    <t>3.8.2.1</t>
  </si>
  <si>
    <t xml:space="preserve">Muu avalik kord </t>
  </si>
  <si>
    <t>3.8.3</t>
  </si>
  <si>
    <t>3.8.3.1</t>
  </si>
  <si>
    <t>04510</t>
  </si>
  <si>
    <t>Linna teede ja tänavate korrashoid</t>
  </si>
  <si>
    <t>sh toetus põhivara soetuseks</t>
  </si>
  <si>
    <t>Toetus põhivara soetuseks</t>
  </si>
  <si>
    <t>3.8.3.2</t>
  </si>
  <si>
    <t>04511</t>
  </si>
  <si>
    <t>Liikluskorraldus</t>
  </si>
  <si>
    <t>Toetus tegevuskuludeks</t>
  </si>
  <si>
    <t>3.8.3.3</t>
  </si>
  <si>
    <t>04512</t>
  </si>
  <si>
    <t>Transpordikorraldus</t>
  </si>
  <si>
    <t xml:space="preserve">sh toetus investeeringuteks </t>
  </si>
  <si>
    <t>3.8.4</t>
  </si>
  <si>
    <t>3.8.4.1</t>
  </si>
  <si>
    <t>05100</t>
  </si>
  <si>
    <t>Jäätmekäitlus</t>
  </si>
  <si>
    <t>Aasta alguse vabad vahendid</t>
  </si>
  <si>
    <t>3.8.4.2</t>
  </si>
  <si>
    <t>Prügivedu</t>
  </si>
  <si>
    <t>3.8.4.3</t>
  </si>
  <si>
    <t>Tänavate puhastus</t>
  </si>
  <si>
    <t>3.8.4.4</t>
  </si>
  <si>
    <t>05200</t>
  </si>
  <si>
    <t>Heitveekäitlus</t>
  </si>
  <si>
    <t>3.8.4.5</t>
  </si>
  <si>
    <t>05400</t>
  </si>
  <si>
    <t>Haljastus</t>
  </si>
  <si>
    <t>3.8.4.6</t>
  </si>
  <si>
    <t>05600</t>
  </si>
  <si>
    <t>Muu keskkonnakaitse</t>
  </si>
  <si>
    <t>3.8.5</t>
  </si>
  <si>
    <t>3.8.5.1</t>
  </si>
  <si>
    <t>06300</t>
  </si>
  <si>
    <t>Veevarustus</t>
  </si>
  <si>
    <t>3.8.5.2</t>
  </si>
  <si>
    <t>06400</t>
  </si>
  <si>
    <t>Tänavavalgustus</t>
  </si>
  <si>
    <t>3.8.5.3</t>
  </si>
  <si>
    <t>06602</t>
  </si>
  <si>
    <t>Kalmistud</t>
  </si>
  <si>
    <t>3.8.5.4</t>
  </si>
  <si>
    <t>06603</t>
  </si>
  <si>
    <t xml:space="preserve">Hulkuvate loomadega seotud kulud </t>
  </si>
  <si>
    <t>3.9</t>
  </si>
  <si>
    <t>LINNAPLANEERIMISE JA MAA-
KORRALDUSE OSAKOND</t>
  </si>
  <si>
    <t>3.9.1</t>
  </si>
  <si>
    <t>3.9.1.1</t>
  </si>
  <si>
    <t>3.9.1.2</t>
  </si>
  <si>
    <t>01330</t>
  </si>
  <si>
    <t>Muud üldised valitsemisteenused 
(arengukavad)</t>
  </si>
  <si>
    <t>3.9.2</t>
  </si>
  <si>
    <t>3.9.2.1</t>
  </si>
  <si>
    <t>04210</t>
  </si>
  <si>
    <t>Maakorraldus</t>
  </si>
  <si>
    <t>3.9.2.2</t>
  </si>
  <si>
    <t>Üldmajanduslikud arendusprojektid
(territoriaalne planeerimine)</t>
  </si>
  <si>
    <t>3.10</t>
  </si>
  <si>
    <t>LINNAVARADE OSAKOND</t>
  </si>
  <si>
    <t>3.10.1</t>
  </si>
  <si>
    <t>3.10.1.1</t>
  </si>
  <si>
    <t>3.10.1.2</t>
  </si>
  <si>
    <t>Finantseerimistehingud ja võla teenindamine</t>
  </si>
  <si>
    <t>3.10.2</t>
  </si>
  <si>
    <t>3.10.2.1</t>
  </si>
  <si>
    <t>04520</t>
  </si>
  <si>
    <t>Veetransport</t>
  </si>
  <si>
    <t>3.10.2.2</t>
  </si>
  <si>
    <t>04530</t>
  </si>
  <si>
    <t>Raudteetransport</t>
  </si>
  <si>
    <t>3.10.2.3</t>
  </si>
  <si>
    <t>3.10.2.4</t>
  </si>
  <si>
    <t>Muu majandus (linnavara haldamine)</t>
  </si>
  <si>
    <t>3.10.3</t>
  </si>
  <si>
    <t>3.10.3.1</t>
  </si>
  <si>
    <t>06100</t>
  </si>
  <si>
    <t>Elamumajanduse arendamine</t>
  </si>
  <si>
    <t>3.10.4</t>
  </si>
  <si>
    <t>3.10.4.1</t>
  </si>
  <si>
    <t>3.10.4.2</t>
  </si>
  <si>
    <t>3.10.4.3</t>
  </si>
  <si>
    <t>3.10.4.4</t>
  </si>
  <si>
    <t xml:space="preserve">Kultuuri- ja rahvamajad </t>
  </si>
  <si>
    <t>3.10.4.5</t>
  </si>
  <si>
    <t>3.10.4.6</t>
  </si>
  <si>
    <t>3.10.5</t>
  </si>
  <si>
    <t>3.10.5.1</t>
  </si>
  <si>
    <t>Toetus investeeringuteks</t>
  </si>
  <si>
    <t>3.10.5.2</t>
  </si>
  <si>
    <t>3.10.5.3</t>
  </si>
  <si>
    <t>3.10.5.4</t>
  </si>
  <si>
    <t>Täiskasvanute Gümnaasium</t>
  </si>
  <si>
    <t>3.10.5.5</t>
  </si>
  <si>
    <t>3.10.5.6</t>
  </si>
  <si>
    <t>09800</t>
  </si>
  <si>
    <t>Muu haridus</t>
  </si>
  <si>
    <t>3.10.6</t>
  </si>
  <si>
    <t>3.10.6.1</t>
  </si>
  <si>
    <t xml:space="preserve">Riskirühmade sotsiaalhoolekande asutused </t>
  </si>
  <si>
    <t>3.10.6.2</t>
  </si>
  <si>
    <t>Muud laste hoolekande asutused (Turvakodu)</t>
  </si>
  <si>
    <t>3.11</t>
  </si>
  <si>
    <t>RAHANDUSOSAKOND</t>
  </si>
  <si>
    <t>3.11.1</t>
  </si>
  <si>
    <t>3.11.1.1</t>
  </si>
  <si>
    <t>3.11.1.2</t>
  </si>
  <si>
    <t>01310</t>
  </si>
  <si>
    <t>Üldised personaliteenused 
(õppelaenu kustutamine)</t>
  </si>
  <si>
    <t>3.11.1.3</t>
  </si>
  <si>
    <t xml:space="preserve">  sh toetus finantseerimistegevuseks</t>
  </si>
  <si>
    <t>3.11.2.</t>
  </si>
  <si>
    <t>3.11.2.1</t>
  </si>
  <si>
    <t>03100</t>
  </si>
  <si>
    <t>Politsei</t>
  </si>
  <si>
    <t>3.11.2.2</t>
  </si>
  <si>
    <t>3.11.3</t>
  </si>
  <si>
    <t>3.11.3.1</t>
  </si>
  <si>
    <t>Muu majandus</t>
  </si>
  <si>
    <t>3.11.4</t>
  </si>
  <si>
    <t>3.11.4.1</t>
  </si>
  <si>
    <t>3.11.4.2</t>
  </si>
  <si>
    <t>3.11.4.3</t>
  </si>
  <si>
    <t>Laste muusika- ja kunstikoolid (teenuse ost teistelt omavalitsustelt)</t>
  </si>
  <si>
    <t>3.11.4.4</t>
  </si>
  <si>
    <t>3.11.4.5</t>
  </si>
  <si>
    <t>08204</t>
  </si>
  <si>
    <t>Teatrid</t>
  </si>
  <si>
    <t>3.11.4.6</t>
  </si>
  <si>
    <t>08206</t>
  </si>
  <si>
    <t>Kontsertorganisatsioonid</t>
  </si>
  <si>
    <t>3.11.4.7</t>
  </si>
  <si>
    <t>08211</t>
  </si>
  <si>
    <t>Botaanikaaed</t>
  </si>
  <si>
    <t>3.11.5</t>
  </si>
  <si>
    <t>3.11.5.1</t>
  </si>
  <si>
    <t>3.11.5.2</t>
  </si>
  <si>
    <t>3.11.5.3</t>
  </si>
  <si>
    <t>09400</t>
  </si>
  <si>
    <t>Kõrgharidus</t>
  </si>
  <si>
    <t>3.11.6</t>
  </si>
  <si>
    <t>3.11.6.1</t>
  </si>
  <si>
    <t>Muu riskirühmade sotsiaalne kaitse</t>
  </si>
  <si>
    <t>3.12</t>
  </si>
  <si>
    <t>SOTSIAALABI OSAKOND</t>
  </si>
  <si>
    <t>3.12.1</t>
  </si>
  <si>
    <t>3.12.1.1</t>
  </si>
  <si>
    <t>3.12.2</t>
  </si>
  <si>
    <t>3.12.2.1</t>
  </si>
  <si>
    <t>Puuetega isikute hoolekande asutused</t>
  </si>
  <si>
    <t>3.12.2.2</t>
  </si>
  <si>
    <t>Muu puuetega isikute sotsiaalne kaitse</t>
  </si>
  <si>
    <t>sh toetus tegevuskuludeks</t>
  </si>
  <si>
    <t xml:space="preserve">    mittesihtotstarbeline toetus</t>
  </si>
  <si>
    <t xml:space="preserve">    aasta alguseks kasutamata 
    sihtotstarbelised vahendid</t>
  </si>
  <si>
    <t>3.12.2.3</t>
  </si>
  <si>
    <t>Koduteenused (Päevakeskus Kalda ja koduteenused)</t>
  </si>
  <si>
    <t>Tulud sotsialabialasest tegevusest</t>
  </si>
  <si>
    <t>3.12.2.4</t>
  </si>
  <si>
    <t>Päevakeskused (Päevakeskus Tähtvere ja teenuse ost)</t>
  </si>
  <si>
    <t>3.12.2.5</t>
  </si>
  <si>
    <t>Hooldekodud (Tartu Hooldekodu ja teenuse ost)</t>
  </si>
  <si>
    <t>3.12.2.6</t>
  </si>
  <si>
    <t>Muu eakate sotsiaalne kaitse</t>
  </si>
  <si>
    <t>3.12.2.7</t>
  </si>
  <si>
    <t>Lastekodud (teenuse ost)</t>
  </si>
  <si>
    <t>3.12.2.8</t>
  </si>
  <si>
    <t>Muud laste hoolekande asutused (Turvakodu ja laste päevakeskuse teenuse ost)</t>
  </si>
  <si>
    <t>3.12.2.9</t>
  </si>
  <si>
    <t>Muu perede ja laste sotsiaalne 
kaitse</t>
  </si>
  <si>
    <t>3.12.2.10</t>
  </si>
  <si>
    <t>Töötute sotsiaalne 
kaitse</t>
  </si>
  <si>
    <t>3.12.2.11</t>
  </si>
  <si>
    <t>Muude riskirühmade hoolekande
asutused (Varjupaik ja teenuse ost)</t>
  </si>
  <si>
    <t>3.12.2.12</t>
  </si>
  <si>
    <t>Toimetulekutoetus</t>
  </si>
  <si>
    <t xml:space="preserve"> sh mittesihtotstarbelised toetused</t>
  </si>
  <si>
    <t>3.12.2.13</t>
  </si>
  <si>
    <t>Muude sotsiaalsete riskirühmade kaitse</t>
  </si>
  <si>
    <t>3.12.2.14</t>
  </si>
  <si>
    <t>Muu sotsiaalne  kaitse</t>
  </si>
  <si>
    <t>3.13</t>
  </si>
  <si>
    <t>TERVISHOIUOSAKOND</t>
  </si>
  <si>
    <t>3.13.1</t>
  </si>
  <si>
    <t>3.13.1.1</t>
  </si>
  <si>
    <t>Osakondade teenistused</t>
  </si>
  <si>
    <t>3.13.2</t>
  </si>
  <si>
    <t>3.13.2.1</t>
  </si>
  <si>
    <t>07120</t>
  </si>
  <si>
    <t>Meditsiinitooted (põetusvahendid)</t>
  </si>
  <si>
    <t>3.13.2.2</t>
  </si>
  <si>
    <t>07210</t>
  </si>
  <si>
    <t>Üldmeditsiiniteenused</t>
  </si>
  <si>
    <t>3.13.2.3</t>
  </si>
  <si>
    <t>07340</t>
  </si>
  <si>
    <t>Hooldusravi</t>
  </si>
  <si>
    <t>3.13.2.4</t>
  </si>
  <si>
    <t>07400</t>
  </si>
  <si>
    <t>Avalikud tervishoiuteenused</t>
  </si>
  <si>
    <t>3.14</t>
  </si>
  <si>
    <t>RESERVFOND</t>
  </si>
  <si>
    <t>Tartu linna 2012. a eelarve investeerimis- ja finantseerimistegevuse kulud</t>
  </si>
  <si>
    <t>Finantseerimisallikad</t>
  </si>
  <si>
    <t>Kokku</t>
  </si>
  <si>
    <t>linn</t>
  </si>
  <si>
    <t>toetused</t>
  </si>
  <si>
    <t>INVESTEERIMIS- ja FINANTSEERIMISTEGEVUS KOKKU</t>
  </si>
  <si>
    <t>Investeerimistegevus</t>
  </si>
  <si>
    <t>Elamu-ja kommunaalmajandus</t>
  </si>
  <si>
    <t>Vabaaeg ja kultuur</t>
  </si>
  <si>
    <t>Finantseerimistegevus</t>
  </si>
  <si>
    <t>Investeerimistegevuse kulud kuluklassifikaatori lõikes</t>
  </si>
  <si>
    <t>Põhivara soetus</t>
  </si>
  <si>
    <t>PVS</t>
  </si>
  <si>
    <t>Põhivara soetuseks antav sihtfinantseerimine</t>
  </si>
  <si>
    <t>ASF</t>
  </si>
  <si>
    <t>Fnantskulud</t>
  </si>
  <si>
    <t>FK</t>
  </si>
  <si>
    <t>Investeerimistegevuse kulud kasutajate, objektide ja finantseerimisallikate lõikes</t>
  </si>
  <si>
    <t>Lisa 4
jrk nr</t>
  </si>
  <si>
    <t>KOKKU</t>
  </si>
  <si>
    <t>Infotehnoloogia soetus</t>
  </si>
  <si>
    <t>ARHITEKTUURI JA EHITUSE OSAKOND</t>
  </si>
  <si>
    <t xml:space="preserve">    Muinsuskaitse</t>
  </si>
  <si>
    <t xml:space="preserve">Restaureerimistoetused </t>
  </si>
  <si>
    <t xml:space="preserve">   Üldmajanduslikud arendusprojektid</t>
  </si>
  <si>
    <t>SA Tartu Teaduspark  taristu arendamise kaasfinantseerimine</t>
  </si>
  <si>
    <t xml:space="preserve">   Valitsussektori võla teenindamine</t>
  </si>
  <si>
    <t xml:space="preserve">Riigi Kinnisvara ASile (H.Masingu Kool, J.Poska Gümnaasium) intressid, käibemaks </t>
  </si>
  <si>
    <t xml:space="preserve">   Lasteaiad</t>
  </si>
  <si>
    <t>Eralasteaedade toetus</t>
  </si>
  <si>
    <t xml:space="preserve">   Kutseõppeasutused</t>
  </si>
  <si>
    <t>Kutsehariduskeskus (Põllu 11) autoeriala õppetöökoja rajamine ja sisustus</t>
  </si>
  <si>
    <t>Kutsehariduskeskuse (Põllu 11) ventilatsioonitööd ning õppebaasi inventar</t>
  </si>
  <si>
    <t xml:space="preserve">   Puhkepargid</t>
  </si>
  <si>
    <t xml:space="preserve">SA Tähtvere Puhkepark (Laulupeo pst 25) </t>
  </si>
  <si>
    <t xml:space="preserve">   Raamatukogud</t>
  </si>
  <si>
    <t>O. Lutsu nim Linnaraamatukogu (Kompanii 3/5) serverite soetus</t>
  </si>
  <si>
    <t xml:space="preserve">   Muuseumid</t>
  </si>
  <si>
    <t>Linnamuuseumi (Narva mnt 23) tulekustutussüsteemi uuendamine, veefiltrite vahetus</t>
  </si>
  <si>
    <t>Kahe sõiduauto väljaost</t>
  </si>
  <si>
    <t xml:space="preserve"> Linna teed, tänavad ja sillad</t>
  </si>
  <si>
    <t>Tänavate rekonstrueerimine, ehitus</t>
  </si>
  <si>
    <t>Tartu idapoolse ringtee projekteerimine ja ehitamine</t>
  </si>
  <si>
    <t xml:space="preserve">Emajõe kaldakindlustuse rekonstrueerimine ja jõeäärsete teede korrastamine </t>
  </si>
  <si>
    <t>Filosoofi tn remondi järelmaks</t>
  </si>
  <si>
    <t>Turu 49 (keskkonnajaam) juurdepääsutee järelmaks</t>
  </si>
  <si>
    <t>Nõlvaku (Mõisavahe-Räpina mnt)</t>
  </si>
  <si>
    <t>Kruusakattega tänavate asfalteerimine</t>
  </si>
  <si>
    <t>Tänavate ülekatted ja pindamised</t>
  </si>
  <si>
    <t>Kalda tee (Kaunase pst-Lammi)</t>
  </si>
  <si>
    <t>Jaama (Rõõmu tee-Kaunase pst)</t>
  </si>
  <si>
    <t xml:space="preserve">Kesk </t>
  </si>
  <si>
    <t>Jaama (Paju-Raatuse)</t>
  </si>
  <si>
    <t xml:space="preserve">Ihaste tee </t>
  </si>
  <si>
    <t>Puiestee (Narva mnt-Lubja)</t>
  </si>
  <si>
    <t xml:space="preserve">FR.R.Kreutzwaldi </t>
  </si>
  <si>
    <t>Ilmatsalu (Ravila-Betooni)</t>
  </si>
  <si>
    <t>Betooni (Ilmatsalu-Ravila)</t>
  </si>
  <si>
    <t>Tähe (Vaba-Tehase)</t>
  </si>
  <si>
    <t>Tähe (Aardla-Sepa)</t>
  </si>
  <si>
    <t>Raudtee (Kabeli-Aardla)</t>
  </si>
  <si>
    <t>Kastani (Võru-Riia)</t>
  </si>
  <si>
    <t xml:space="preserve">Tõnissoni </t>
  </si>
  <si>
    <t>Tuglase (laululava-parkla)</t>
  </si>
  <si>
    <t xml:space="preserve">Kõnniteed </t>
  </si>
  <si>
    <t>Sademevee liitumistasu</t>
  </si>
  <si>
    <t>Tänavate renoveerimine</t>
  </si>
  <si>
    <t>Koostöö võrguarendajatega</t>
  </si>
  <si>
    <t>Infrastruktuuri arenduste kompensatsioonid</t>
  </si>
  <si>
    <t>Kvissentali elamurajoon</t>
  </si>
  <si>
    <t>Oksa ja Ladva tänavad</t>
  </si>
  <si>
    <t>Ropka Tööstuspark</t>
  </si>
  <si>
    <t>Lõunakeskuse teed</t>
  </si>
  <si>
    <t>Turu-Sepa ristmiku projekteerimine</t>
  </si>
  <si>
    <t>Osalemine projektis Traffic</t>
  </si>
  <si>
    <t xml:space="preserve">Tartu linna ühistransporti toetavate süsteemide kaasajastamine </t>
  </si>
  <si>
    <t xml:space="preserve">   Haljastus</t>
  </si>
  <si>
    <t>Mänguväljaku rajamine</t>
  </si>
  <si>
    <t>Osalemine projektis Green Man</t>
  </si>
  <si>
    <t>Elamu ja kommunaalmajandus</t>
  </si>
  <si>
    <t xml:space="preserve">   Tänavavalgustus</t>
  </si>
  <si>
    <t xml:space="preserve">Õhuliinide rekonstrueerimise ühisprojektid ASiga Eesti Energia </t>
  </si>
  <si>
    <t>Telemeetriaseadmete vahetus</t>
  </si>
  <si>
    <t>Ohtlike tänavavalgustusmastide vahetus</t>
  </si>
  <si>
    <t>Raja pargi, Riia ja Põldmarja tänava valgustuskilbist  toiteliinide ehitus</t>
  </si>
  <si>
    <t xml:space="preserve">  Kalmistud </t>
  </si>
  <si>
    <t>Maasturi väljaost</t>
  </si>
  <si>
    <t>LINNAPLANEERIMISE JA MAAKORRALDUSE OSAKOND</t>
  </si>
  <si>
    <t xml:space="preserve">Majandus </t>
  </si>
  <si>
    <r>
      <t xml:space="preserve">   Maakorraldus </t>
    </r>
    <r>
      <rPr>
        <sz val="10"/>
        <rFont val="Times New Roman"/>
        <family val="1"/>
      </rPr>
      <t xml:space="preserve">(linna arenguks maa ost) </t>
    </r>
  </si>
  <si>
    <t>Sõiduauto intressid</t>
  </si>
  <si>
    <t xml:space="preserve">   Veetransport</t>
  </si>
  <si>
    <t>Sõpruse silla paadisadama ehituse projekteerimine</t>
  </si>
  <si>
    <t xml:space="preserve">   Raudteetransport</t>
  </si>
  <si>
    <t>Tartu vaksalihoone reisijate ootesaali ehitustööde tasumise toetus</t>
  </si>
  <si>
    <t xml:space="preserve">   Muu majandus</t>
  </si>
  <si>
    <t xml:space="preserve">Mitteeluruumide (linna üüripindade) remonttööd </t>
  </si>
  <si>
    <t>Ettekirjutiste täitmiseks linna hoonetele (v.a haridusasutused)</t>
  </si>
  <si>
    <t xml:space="preserve">   Elamumajanduse arendamine</t>
  </si>
  <si>
    <t xml:space="preserve">Linnale kuuluvate korterite remont </t>
  </si>
  <si>
    <t xml:space="preserve">Linnale kuuluvate elamute remont </t>
  </si>
  <si>
    <t xml:space="preserve">   Spordibaasid</t>
  </si>
  <si>
    <t>Tamme staadioni olmehoone rekonstrueerimine ja mänguväljaku ehitus</t>
  </si>
  <si>
    <t xml:space="preserve">   Laste muusika-ja kunstikoolid</t>
  </si>
  <si>
    <t>Keskkonnahariduskeskuse (Lille 10) projekteerimine</t>
  </si>
  <si>
    <t xml:space="preserve">   Laste huvialamajad ja keskused</t>
  </si>
  <si>
    <t>Anne Noortekeskuse uue hoone projekteerimine</t>
  </si>
  <si>
    <t xml:space="preserve">   Muinsuskaitse</t>
  </si>
  <si>
    <t>SA Tartu Pauluse Kirik renoveerimise toetamine</t>
  </si>
  <si>
    <t xml:space="preserve">   Muu vaba aeg ja kultuur</t>
  </si>
  <si>
    <t xml:space="preserve">Loomemajanduse Keskus (Kalevi  15,17) hoonete rekonstrueerimine </t>
  </si>
  <si>
    <t>Täiendavate rühmade rajamine</t>
  </si>
  <si>
    <t>Ventilatsioonisüsteemide korrastamine</t>
  </si>
  <si>
    <t xml:space="preserve">   Põhikoolid</t>
  </si>
  <si>
    <t>Kesklinna Kool (Kroonuaia 7)</t>
  </si>
  <si>
    <t xml:space="preserve">M. Reiniku Kool (Vanemuise 48) </t>
  </si>
  <si>
    <t xml:space="preserve">    Gümnaasiumid</t>
  </si>
  <si>
    <t>Forseliuse Gümnaasium (Tähe 103)</t>
  </si>
  <si>
    <t xml:space="preserve">   Täiskasvanute gümnaasiumid</t>
  </si>
  <si>
    <t>Tartu Täiskasvanute Gümnaasium (Nooruse 9)</t>
  </si>
  <si>
    <t>Kutsehariduskeskus (Põllu 1)</t>
  </si>
  <si>
    <t xml:space="preserve">   Muu haridus </t>
  </si>
  <si>
    <t>Haridusobjektide projekteerimine</t>
  </si>
  <si>
    <t>Ettekirjutiste täitmine</t>
  </si>
  <si>
    <t xml:space="preserve">Investeeringud heitkoguse ühikute müügi vahenditest </t>
  </si>
  <si>
    <t xml:space="preserve">   Muu sotsiaalsete riskirühmade kaitse</t>
  </si>
  <si>
    <t>Anne Sauna renoveerimise projekti kaasfinantseerimine</t>
  </si>
  <si>
    <t xml:space="preserve">   Muud laste hoolekande asutused</t>
  </si>
  <si>
    <t>Laste Turvakodu (Tiigi 55)</t>
  </si>
  <si>
    <t>3.11.13</t>
  </si>
  <si>
    <t xml:space="preserve">   Valitsussektori võla teenindamine </t>
  </si>
  <si>
    <t>Laenude intressid ja korralduskulud</t>
  </si>
  <si>
    <t>Tartu Ülikooli spordihoone ehituse laenude
tasumise toetamine</t>
  </si>
  <si>
    <t>Eesti Maaülikooli spordihoone ehituse laenude tasumise toetamine</t>
  </si>
  <si>
    <t xml:space="preserve">   Kõrgharidus</t>
  </si>
  <si>
    <t xml:space="preserve">Tartu Ülikooli ühiselamute renoveerimise projekti kaasfinantseerimine </t>
  </si>
  <si>
    <t xml:space="preserve">Eesti Maaülikooli ühiselamute renoveerimise projekti kaasfinantseerimine </t>
  </si>
  <si>
    <t>Finantseerimistegevuse kulud kasutajate lõikes</t>
  </si>
  <si>
    <t xml:space="preserve">Riigi Kinnisvara ASile (H. Masingu Kooli, J. Poska Gümnaasium)  põhiosa maksed  </t>
  </si>
  <si>
    <t>O. Lutsu nim Linnaraamatukogu väikebussi rendimaksed</t>
  </si>
  <si>
    <t xml:space="preserve">Sõiduauto liisingmaksed </t>
  </si>
  <si>
    <t>Emiteeritud võlakirjade tagasimaksed</t>
  </si>
  <si>
    <t>Tartu linna laenukohustused aastatel 2010-2013</t>
  </si>
  <si>
    <t>Kohustus</t>
  </si>
  <si>
    <t>Kokku
2010-2012</t>
  </si>
  <si>
    <t xml:space="preserve">Laen 6 582 900 € </t>
  </si>
  <si>
    <t>sh tagasimakse</t>
  </si>
  <si>
    <t xml:space="preserve">     intressid</t>
  </si>
  <si>
    <t xml:space="preserve">     korralduskulud</t>
  </si>
  <si>
    <t xml:space="preserve">Võlakirjaemissioon 8 274 194 € </t>
  </si>
  <si>
    <t xml:space="preserve">Võlakirjaemissioon 5 432 490 € </t>
  </si>
  <si>
    <t xml:space="preserve">    korralduskulud</t>
  </si>
  <si>
    <t xml:space="preserve">Võlakirjaemissioon 9 586 747 € </t>
  </si>
  <si>
    <t xml:space="preserve">Võlakirjaemissioon 5 229 315 € </t>
  </si>
  <si>
    <t xml:space="preserve">Võlakirjaemissioon 8 272 404 € </t>
  </si>
  <si>
    <t xml:space="preserve">Võlakirjaemissioon 4 693 288 € </t>
  </si>
  <si>
    <t>Võlakirjaemissioon 3 570 808 €</t>
  </si>
  <si>
    <t>Võlakirjaemissioon 11 320 800 €</t>
  </si>
  <si>
    <t>2012 laenamine</t>
  </si>
  <si>
    <t xml:space="preserve">Sildfnantseerimislaen 2 556 466 € </t>
  </si>
  <si>
    <t>Arvelduslaen</t>
  </si>
  <si>
    <t>laenu teenindamine</t>
  </si>
  <si>
    <t>Riigi Kinnisvara AS leping</t>
  </si>
  <si>
    <t>Liisingud</t>
  </si>
  <si>
    <t>LINNA KOHUSTUSED KOKKU</t>
  </si>
  <si>
    <t>TARTU LINNA 2012. a PÕHITEGEVUSE KULUD</t>
  </si>
  <si>
    <t>VALDKONDADE  JA KULULIIKIDE lõikes</t>
  </si>
  <si>
    <t>finantseerimiseelarve</t>
  </si>
  <si>
    <t>valdkonna ja kululiigi nimetus</t>
  </si>
  <si>
    <t>linna
eelarve
arvel</t>
  </si>
  <si>
    <t>saadavate
toetuste
arvel</t>
  </si>
  <si>
    <t>personalikulud</t>
  </si>
  <si>
    <t>majandamiskulud</t>
  </si>
  <si>
    <t>muud kulud</t>
  </si>
  <si>
    <t>antavad toetused</t>
  </si>
  <si>
    <t>Üldised valitsussektori 
teenused</t>
  </si>
  <si>
    <t>Elamu- ja kommunaalma-
jandus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</si>
</sst>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DD/\ MMM"/>
    <numFmt numFmtId="167" formatCode="DD/MM/YYYY"/>
    <numFmt numFmtId="168" formatCode="MM/YY"/>
    <numFmt numFmtId="169" formatCode="#,##0.0"/>
    <numFmt numFmtId="170" formatCode="@"/>
    <numFmt numFmtId="171" formatCode="0"/>
    <numFmt numFmtId="172" formatCode="0.00"/>
    <numFmt numFmtId="173" formatCode="#,##0.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71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18" fillId="0" borderId="0" xfId="0" applyFont="1" applyAlignment="1">
      <alignment wrapText="1"/>
    </xf>
    <xf numFmtId="164" fontId="19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4" fontId="0" fillId="0" borderId="10" xfId="0" applyBorder="1" applyAlignment="1">
      <alignment/>
    </xf>
    <xf numFmtId="165" fontId="0" fillId="0" borderId="10" xfId="0" applyNumberFormat="1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166" fontId="20" fillId="0" borderId="11" xfId="0" applyNumberFormat="1" applyFont="1" applyBorder="1" applyAlignment="1">
      <alignment horizontal="left"/>
    </xf>
    <xf numFmtId="164" fontId="21" fillId="0" borderId="11" xfId="0" applyFont="1" applyBorder="1" applyAlignment="1">
      <alignment/>
    </xf>
    <xf numFmtId="165" fontId="18" fillId="0" borderId="11" xfId="0" applyNumberFormat="1" applyFont="1" applyBorder="1" applyAlignment="1">
      <alignment wrapText="1"/>
    </xf>
    <xf numFmtId="165" fontId="18" fillId="0" borderId="11" xfId="0" applyNumberFormat="1" applyFont="1" applyBorder="1" applyAlignment="1">
      <alignment/>
    </xf>
    <xf numFmtId="166" fontId="20" fillId="0" borderId="12" xfId="0" applyNumberFormat="1" applyFont="1" applyBorder="1" applyAlignment="1">
      <alignment/>
    </xf>
    <xf numFmtId="164" fontId="21" fillId="0" borderId="12" xfId="0" applyFont="1" applyBorder="1" applyAlignment="1">
      <alignment/>
    </xf>
    <xf numFmtId="165" fontId="18" fillId="0" borderId="12" xfId="0" applyNumberFormat="1" applyFont="1" applyBorder="1" applyAlignment="1">
      <alignment/>
    </xf>
    <xf numFmtId="164" fontId="22" fillId="0" borderId="12" xfId="0" applyFont="1" applyBorder="1" applyAlignment="1">
      <alignment/>
    </xf>
    <xf numFmtId="164" fontId="23" fillId="0" borderId="12" xfId="0" applyFont="1" applyBorder="1" applyAlignment="1">
      <alignment/>
    </xf>
    <xf numFmtId="165" fontId="0" fillId="0" borderId="12" xfId="0" applyNumberFormat="1" applyFont="1" applyBorder="1" applyAlignment="1">
      <alignment/>
    </xf>
    <xf numFmtId="167" fontId="22" fillId="0" borderId="12" xfId="0" applyNumberFormat="1" applyFont="1" applyBorder="1" applyAlignment="1">
      <alignment/>
    </xf>
    <xf numFmtId="164" fontId="20" fillId="0" borderId="12" xfId="0" applyFont="1" applyBorder="1" applyAlignment="1">
      <alignment/>
    </xf>
    <xf numFmtId="164" fontId="24" fillId="0" borderId="12" xfId="0" applyFont="1" applyBorder="1" applyAlignment="1">
      <alignment wrapText="1"/>
    </xf>
    <xf numFmtId="165" fontId="25" fillId="0" borderId="12" xfId="0" applyNumberFormat="1" applyFont="1" applyBorder="1" applyAlignment="1">
      <alignment/>
    </xf>
    <xf numFmtId="164" fontId="23" fillId="0" borderId="12" xfId="0" applyFont="1" applyBorder="1" applyAlignment="1">
      <alignment wrapText="1"/>
    </xf>
    <xf numFmtId="164" fontId="20" fillId="0" borderId="12" xfId="0" applyFont="1" applyFill="1" applyBorder="1" applyAlignment="1">
      <alignment/>
    </xf>
    <xf numFmtId="164" fontId="21" fillId="0" borderId="12" xfId="0" applyFont="1" applyFill="1" applyBorder="1" applyAlignment="1">
      <alignment/>
    </xf>
    <xf numFmtId="164" fontId="22" fillId="0" borderId="12" xfId="0" applyFont="1" applyFill="1" applyBorder="1" applyAlignment="1">
      <alignment/>
    </xf>
    <xf numFmtId="164" fontId="23" fillId="0" borderId="12" xfId="0" applyFont="1" applyFill="1" applyBorder="1" applyAlignment="1">
      <alignment wrapText="1"/>
    </xf>
    <xf numFmtId="165" fontId="0" fillId="0" borderId="12" xfId="0" applyNumberFormat="1" applyBorder="1" applyAlignment="1">
      <alignment/>
    </xf>
    <xf numFmtId="165" fontId="0" fillId="0" borderId="12" xfId="0" applyNumberFormat="1" applyFont="1" applyFill="1" applyBorder="1" applyAlignment="1">
      <alignment/>
    </xf>
    <xf numFmtId="164" fontId="0" fillId="0" borderId="12" xfId="0" applyBorder="1" applyAlignment="1">
      <alignment/>
    </xf>
    <xf numFmtId="166" fontId="22" fillId="0" borderId="12" xfId="0" applyNumberFormat="1" applyFont="1" applyBorder="1" applyAlignment="1">
      <alignment/>
    </xf>
    <xf numFmtId="164" fontId="0" fillId="0" borderId="0" xfId="0" applyAlignment="1">
      <alignment horizontal="left"/>
    </xf>
    <xf numFmtId="164" fontId="0" fillId="0" borderId="10" xfId="0" applyBorder="1" applyAlignment="1">
      <alignment horizontal="left"/>
    </xf>
    <xf numFmtId="164" fontId="22" fillId="0" borderId="13" xfId="0" applyFont="1" applyBorder="1" applyAlignment="1">
      <alignment horizontal="left"/>
    </xf>
    <xf numFmtId="165" fontId="18" fillId="0" borderId="11" xfId="0" applyNumberFormat="1" applyFont="1" applyBorder="1" applyAlignment="1">
      <alignment horizontal="right" wrapText="1"/>
    </xf>
    <xf numFmtId="165" fontId="18" fillId="0" borderId="11" xfId="0" applyNumberFormat="1" applyFont="1" applyBorder="1" applyAlignment="1">
      <alignment horizontal="right"/>
    </xf>
    <xf numFmtId="166" fontId="22" fillId="0" borderId="12" xfId="0" applyNumberFormat="1" applyFont="1" applyBorder="1" applyAlignment="1">
      <alignment horizontal="left"/>
    </xf>
    <xf numFmtId="164" fontId="22" fillId="0" borderId="12" xfId="0" applyFont="1" applyBorder="1" applyAlignment="1">
      <alignment horizontal="left"/>
    </xf>
    <xf numFmtId="164" fontId="0" fillId="0" borderId="0" xfId="0" applyAlignment="1">
      <alignment horizontal="right"/>
    </xf>
    <xf numFmtId="164" fontId="0" fillId="0" borderId="0" xfId="0" applyAlignment="1">
      <alignment wrapText="1"/>
    </xf>
    <xf numFmtId="164" fontId="26" fillId="0" borderId="0" xfId="0" applyFont="1" applyAlignment="1">
      <alignment/>
    </xf>
    <xf numFmtId="164" fontId="0" fillId="0" borderId="10" xfId="0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right"/>
    </xf>
    <xf numFmtId="164" fontId="23" fillId="0" borderId="10" xfId="0" applyFont="1" applyBorder="1" applyAlignment="1">
      <alignment horizontal="center" wrapText="1"/>
    </xf>
    <xf numFmtId="165" fontId="23" fillId="0" borderId="10" xfId="0" applyNumberFormat="1" applyFont="1" applyBorder="1" applyAlignment="1">
      <alignment horizontal="center" wrapText="1"/>
    </xf>
    <xf numFmtId="165" fontId="23" fillId="0" borderId="10" xfId="0" applyNumberFormat="1" applyFont="1" applyBorder="1" applyAlignment="1">
      <alignment horizontal="center"/>
    </xf>
    <xf numFmtId="164" fontId="22" fillId="0" borderId="11" xfId="0" applyFont="1" applyBorder="1" applyAlignment="1">
      <alignment horizontal="left"/>
    </xf>
    <xf numFmtId="164" fontId="22" fillId="0" borderId="11" xfId="0" applyFont="1" applyBorder="1" applyAlignment="1">
      <alignment horizontal="right"/>
    </xf>
    <xf numFmtId="164" fontId="23" fillId="0" borderId="11" xfId="0" applyFont="1" applyBorder="1" applyAlignment="1">
      <alignment wrapText="1"/>
    </xf>
    <xf numFmtId="165" fontId="22" fillId="0" borderId="11" xfId="0" applyNumberFormat="1" applyFont="1" applyBorder="1" applyAlignment="1">
      <alignment/>
    </xf>
    <xf numFmtId="164" fontId="22" fillId="0" borderId="12" xfId="0" applyFont="1" applyBorder="1" applyAlignment="1">
      <alignment horizontal="right"/>
    </xf>
    <xf numFmtId="165" fontId="22" fillId="0" borderId="13" xfId="0" applyNumberFormat="1" applyFont="1" applyBorder="1" applyAlignment="1">
      <alignment/>
    </xf>
    <xf numFmtId="165" fontId="22" fillId="0" borderId="12" xfId="0" applyNumberFormat="1" applyFont="1" applyBorder="1" applyAlignment="1">
      <alignment/>
    </xf>
    <xf numFmtId="164" fontId="20" fillId="0" borderId="12" xfId="0" applyFont="1" applyBorder="1" applyAlignment="1">
      <alignment horizontal="left"/>
    </xf>
    <xf numFmtId="164" fontId="20" fillId="0" borderId="12" xfId="0" applyFont="1" applyBorder="1" applyAlignment="1">
      <alignment horizontal="right"/>
    </xf>
    <xf numFmtId="164" fontId="21" fillId="0" borderId="12" xfId="0" applyFont="1" applyBorder="1" applyAlignment="1">
      <alignment wrapText="1"/>
    </xf>
    <xf numFmtId="165" fontId="20" fillId="0" borderId="12" xfId="0" applyNumberFormat="1" applyFont="1" applyBorder="1" applyAlignment="1">
      <alignment/>
    </xf>
    <xf numFmtId="166" fontId="20" fillId="0" borderId="12" xfId="0" applyNumberFormat="1" applyFont="1" applyBorder="1" applyAlignment="1">
      <alignment horizontal="left"/>
    </xf>
    <xf numFmtId="167" fontId="27" fillId="0" borderId="12" xfId="0" applyNumberFormat="1" applyFont="1" applyBorder="1" applyAlignment="1">
      <alignment horizontal="left"/>
    </xf>
    <xf numFmtId="164" fontId="27" fillId="0" borderId="12" xfId="0" applyFont="1" applyBorder="1" applyAlignment="1">
      <alignment horizontal="right"/>
    </xf>
    <xf numFmtId="165" fontId="27" fillId="0" borderId="12" xfId="0" applyNumberFormat="1" applyFont="1" applyBorder="1" applyAlignment="1">
      <alignment/>
    </xf>
    <xf numFmtId="164" fontId="27" fillId="0" borderId="12" xfId="0" applyFont="1" applyBorder="1" applyAlignment="1">
      <alignment horizontal="left"/>
    </xf>
    <xf numFmtId="164" fontId="25" fillId="0" borderId="0" xfId="0" applyFont="1" applyAlignment="1">
      <alignment/>
    </xf>
    <xf numFmtId="168" fontId="20" fillId="0" borderId="12" xfId="0" applyNumberFormat="1" applyFont="1" applyBorder="1" applyAlignment="1">
      <alignment horizontal="left"/>
    </xf>
    <xf numFmtId="164" fontId="18" fillId="0" borderId="0" xfId="0" applyFont="1" applyAlignment="1">
      <alignment horizontal="left"/>
    </xf>
    <xf numFmtId="164" fontId="25" fillId="0" borderId="0" xfId="0" applyFont="1" applyAlignment="1">
      <alignment horizontal="left"/>
    </xf>
    <xf numFmtId="164" fontId="25" fillId="0" borderId="0" xfId="0" applyFont="1" applyAlignment="1">
      <alignment horizontal="right"/>
    </xf>
    <xf numFmtId="164" fontId="25" fillId="0" borderId="0" xfId="0" applyFont="1" applyAlignment="1">
      <alignment wrapText="1"/>
    </xf>
    <xf numFmtId="165" fontId="25" fillId="0" borderId="0" xfId="0" applyNumberFormat="1" applyFont="1" applyAlignment="1">
      <alignment/>
    </xf>
    <xf numFmtId="164" fontId="22" fillId="0" borderId="0" xfId="0" applyFont="1" applyFill="1" applyAlignment="1">
      <alignment/>
    </xf>
    <xf numFmtId="164" fontId="0" fillId="0" borderId="0" xfId="0" applyFill="1" applyAlignment="1">
      <alignment wrapText="1"/>
    </xf>
    <xf numFmtId="164" fontId="0" fillId="0" borderId="0" xfId="0" applyFill="1" applyAlignment="1">
      <alignment/>
    </xf>
    <xf numFmtId="169" fontId="0" fillId="0" borderId="0" xfId="0" applyNumberFormat="1" applyFill="1" applyBorder="1" applyAlignment="1">
      <alignment/>
    </xf>
    <xf numFmtId="164" fontId="18" fillId="0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 wrapText="1"/>
    </xf>
    <xf numFmtId="164" fontId="18" fillId="0" borderId="0" xfId="0" applyFont="1" applyFill="1" applyBorder="1" applyAlignment="1">
      <alignment/>
    </xf>
    <xf numFmtId="169" fontId="18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28" fillId="0" borderId="10" xfId="0" applyFont="1" applyFill="1" applyBorder="1" applyAlignment="1">
      <alignment wrapText="1"/>
    </xf>
    <xf numFmtId="164" fontId="28" fillId="0" borderId="10" xfId="0" applyFont="1" applyFill="1" applyBorder="1" applyAlignment="1">
      <alignment/>
    </xf>
    <xf numFmtId="169" fontId="29" fillId="0" borderId="10" xfId="0" applyNumberFormat="1" applyFont="1" applyFill="1" applyBorder="1" applyAlignment="1">
      <alignment horizontal="center"/>
    </xf>
    <xf numFmtId="169" fontId="29" fillId="0" borderId="10" xfId="0" applyNumberFormat="1" applyFont="1" applyFill="1" applyBorder="1" applyAlignment="1">
      <alignment horizontal="center" wrapText="1"/>
    </xf>
    <xf numFmtId="164" fontId="22" fillId="0" borderId="0" xfId="0" applyFont="1" applyFill="1" applyBorder="1" applyAlignment="1">
      <alignment/>
    </xf>
    <xf numFmtId="164" fontId="29" fillId="0" borderId="10" xfId="0" applyFont="1" applyFill="1" applyBorder="1" applyAlignment="1">
      <alignment wrapText="1"/>
    </xf>
    <xf numFmtId="164" fontId="29" fillId="0" borderId="10" xfId="0" applyFont="1" applyFill="1" applyBorder="1" applyAlignment="1">
      <alignment/>
    </xf>
    <xf numFmtId="165" fontId="29" fillId="0" borderId="10" xfId="0" applyNumberFormat="1" applyFont="1" applyFill="1" applyBorder="1" applyAlignment="1">
      <alignment/>
    </xf>
    <xf numFmtId="165" fontId="28" fillId="24" borderId="10" xfId="0" applyNumberFormat="1" applyFont="1" applyFill="1" applyBorder="1" applyAlignment="1">
      <alignment/>
    </xf>
    <xf numFmtId="165" fontId="28" fillId="0" borderId="10" xfId="0" applyNumberFormat="1" applyFont="1" applyFill="1" applyBorder="1" applyAlignment="1">
      <alignment/>
    </xf>
    <xf numFmtId="164" fontId="28" fillId="0" borderId="0" xfId="0" applyFont="1" applyFill="1" applyBorder="1" applyAlignment="1">
      <alignment wrapText="1"/>
    </xf>
    <xf numFmtId="164" fontId="28" fillId="0" borderId="0" xfId="0" applyFont="1" applyFill="1" applyBorder="1" applyAlignment="1">
      <alignment/>
    </xf>
    <xf numFmtId="169" fontId="29" fillId="0" borderId="0" xfId="0" applyNumberFormat="1" applyFont="1" applyFill="1" applyBorder="1" applyAlignment="1">
      <alignment/>
    </xf>
    <xf numFmtId="164" fontId="28" fillId="0" borderId="0" xfId="0" applyFont="1" applyFill="1" applyAlignment="1">
      <alignment/>
    </xf>
    <xf numFmtId="165" fontId="28" fillId="0" borderId="0" xfId="0" applyNumberFormat="1" applyFont="1" applyFill="1" applyBorder="1" applyAlignment="1">
      <alignment/>
    </xf>
    <xf numFmtId="164" fontId="29" fillId="0" borderId="0" xfId="0" applyFont="1" applyFill="1" applyBorder="1" applyAlignment="1">
      <alignment horizontal="center"/>
    </xf>
    <xf numFmtId="164" fontId="29" fillId="0" borderId="0" xfId="0" applyFont="1" applyFill="1" applyBorder="1" applyAlignment="1">
      <alignment horizontal="center" wrapText="1"/>
    </xf>
    <xf numFmtId="164" fontId="28" fillId="0" borderId="0" xfId="0" applyFont="1" applyFill="1" applyAlignment="1">
      <alignment/>
    </xf>
    <xf numFmtId="164" fontId="30" fillId="0" borderId="10" xfId="0" applyFont="1" applyFill="1" applyBorder="1" applyAlignment="1">
      <alignment horizontal="center" wrapText="1"/>
    </xf>
    <xf numFmtId="164" fontId="28" fillId="0" borderId="14" xfId="0" applyFont="1" applyFill="1" applyBorder="1" applyAlignment="1">
      <alignment horizontal="center" wrapText="1"/>
    </xf>
    <xf numFmtId="164" fontId="28" fillId="0" borderId="10" xfId="0" applyFont="1" applyFill="1" applyBorder="1" applyAlignment="1">
      <alignment horizontal="center"/>
    </xf>
    <xf numFmtId="164" fontId="30" fillId="0" borderId="10" xfId="0" applyFont="1" applyFill="1" applyBorder="1" applyAlignment="1">
      <alignment/>
    </xf>
    <xf numFmtId="164" fontId="29" fillId="0" borderId="14" xfId="0" applyFont="1" applyFill="1" applyBorder="1" applyAlignment="1">
      <alignment wrapText="1"/>
    </xf>
    <xf numFmtId="165" fontId="29" fillId="0" borderId="10" xfId="0" applyNumberFormat="1" applyFont="1" applyFill="1" applyBorder="1" applyAlignment="1">
      <alignment horizontal="right"/>
    </xf>
    <xf numFmtId="170" fontId="30" fillId="0" borderId="10" xfId="0" applyNumberFormat="1" applyFont="1" applyFill="1" applyBorder="1" applyAlignment="1">
      <alignment/>
    </xf>
    <xf numFmtId="164" fontId="28" fillId="0" borderId="14" xfId="0" applyFont="1" applyFill="1" applyBorder="1" applyAlignment="1">
      <alignment wrapText="1"/>
    </xf>
    <xf numFmtId="164" fontId="31" fillId="0" borderId="14" xfId="0" applyFont="1" applyFill="1" applyBorder="1" applyAlignment="1">
      <alignment wrapText="1"/>
    </xf>
    <xf numFmtId="164" fontId="31" fillId="0" borderId="10" xfId="0" applyFont="1" applyFill="1" applyBorder="1" applyAlignment="1">
      <alignment/>
    </xf>
    <xf numFmtId="164" fontId="31" fillId="0" borderId="10" xfId="0" applyFont="1" applyFill="1" applyBorder="1" applyAlignment="1">
      <alignment wrapText="1"/>
    </xf>
    <xf numFmtId="170" fontId="29" fillId="0" borderId="14" xfId="0" applyNumberFormat="1" applyFont="1" applyFill="1" applyBorder="1" applyAlignment="1">
      <alignment wrapText="1"/>
    </xf>
    <xf numFmtId="170" fontId="29" fillId="0" borderId="10" xfId="0" applyNumberFormat="1" applyFont="1" applyFill="1" applyBorder="1" applyAlignment="1">
      <alignment/>
    </xf>
    <xf numFmtId="170" fontId="28" fillId="0" borderId="14" xfId="0" applyNumberFormat="1" applyFont="1" applyFill="1" applyBorder="1" applyAlignment="1">
      <alignment wrapText="1"/>
    </xf>
    <xf numFmtId="170" fontId="31" fillId="0" borderId="14" xfId="0" applyNumberFormat="1" applyFont="1" applyFill="1" applyBorder="1" applyAlignment="1">
      <alignment wrapText="1"/>
    </xf>
    <xf numFmtId="170" fontId="31" fillId="0" borderId="10" xfId="0" applyNumberFormat="1" applyFont="1" applyFill="1" applyBorder="1" applyAlignment="1">
      <alignment/>
    </xf>
    <xf numFmtId="165" fontId="29" fillId="24" borderId="10" xfId="0" applyNumberFormat="1" applyFont="1" applyFill="1" applyBorder="1" applyAlignment="1">
      <alignment/>
    </xf>
    <xf numFmtId="170" fontId="28" fillId="0" borderId="10" xfId="0" applyNumberFormat="1" applyFont="1" applyFill="1" applyBorder="1" applyAlignment="1">
      <alignment/>
    </xf>
    <xf numFmtId="170" fontId="28" fillId="0" borderId="10" xfId="0" applyNumberFormat="1" applyFont="1" applyFill="1" applyBorder="1" applyAlignment="1">
      <alignment wrapText="1"/>
    </xf>
    <xf numFmtId="170" fontId="31" fillId="0" borderId="10" xfId="0" applyNumberFormat="1" applyFont="1" applyFill="1" applyBorder="1" applyAlignment="1">
      <alignment wrapText="1"/>
    </xf>
    <xf numFmtId="165" fontId="31" fillId="0" borderId="10" xfId="0" applyNumberFormat="1" applyFont="1" applyFill="1" applyBorder="1" applyAlignment="1">
      <alignment/>
    </xf>
    <xf numFmtId="165" fontId="32" fillId="0" borderId="10" xfId="0" applyNumberFormat="1" applyFont="1" applyFill="1" applyBorder="1" applyAlignment="1">
      <alignment/>
    </xf>
    <xf numFmtId="165" fontId="33" fillId="0" borderId="10" xfId="0" applyNumberFormat="1" applyFont="1" applyFill="1" applyBorder="1" applyAlignment="1">
      <alignment/>
    </xf>
    <xf numFmtId="164" fontId="33" fillId="0" borderId="14" xfId="0" applyFont="1" applyFill="1" applyBorder="1" applyAlignment="1">
      <alignment wrapText="1"/>
    </xf>
    <xf numFmtId="164" fontId="33" fillId="0" borderId="10" xfId="0" applyFont="1" applyFill="1" applyBorder="1" applyAlignment="1">
      <alignment/>
    </xf>
    <xf numFmtId="165" fontId="34" fillId="0" borderId="10" xfId="0" applyNumberFormat="1" applyFont="1" applyFill="1" applyBorder="1" applyAlignment="1">
      <alignment/>
    </xf>
    <xf numFmtId="165" fontId="35" fillId="0" borderId="10" xfId="0" applyNumberFormat="1" applyFont="1" applyFill="1" applyBorder="1" applyAlignment="1">
      <alignment/>
    </xf>
    <xf numFmtId="164" fontId="28" fillId="0" borderId="15" xfId="0" applyFont="1" applyFill="1" applyBorder="1" applyAlignment="1">
      <alignment wrapText="1"/>
    </xf>
    <xf numFmtId="165" fontId="28" fillId="0" borderId="15" xfId="0" applyNumberFormat="1" applyFont="1" applyFill="1" applyBorder="1" applyAlignment="1">
      <alignment/>
    </xf>
    <xf numFmtId="165" fontId="29" fillId="0" borderId="15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5" fontId="29" fillId="0" borderId="0" xfId="0" applyNumberFormat="1" applyFont="1" applyFill="1" applyBorder="1" applyAlignment="1">
      <alignment/>
    </xf>
    <xf numFmtId="165" fontId="29" fillId="0" borderId="10" xfId="0" applyNumberFormat="1" applyFont="1" applyFill="1" applyBorder="1" applyAlignment="1">
      <alignment horizontal="center"/>
    </xf>
    <xf numFmtId="170" fontId="22" fillId="0" borderId="13" xfId="0" applyNumberFormat="1" applyFont="1" applyFill="1" applyBorder="1" applyAlignment="1">
      <alignment/>
    </xf>
    <xf numFmtId="165" fontId="36" fillId="0" borderId="0" xfId="0" applyNumberFormat="1" applyFont="1" applyFill="1" applyBorder="1" applyAlignment="1">
      <alignment/>
    </xf>
    <xf numFmtId="164" fontId="28" fillId="0" borderId="0" xfId="0" applyFont="1" applyAlignment="1">
      <alignment/>
    </xf>
    <xf numFmtId="169" fontId="28" fillId="0" borderId="0" xfId="0" applyNumberFormat="1" applyFont="1" applyAlignment="1">
      <alignment/>
    </xf>
    <xf numFmtId="164" fontId="37" fillId="0" borderId="0" xfId="0" applyFont="1" applyBorder="1" applyAlignment="1">
      <alignment horizontal="center"/>
    </xf>
    <xf numFmtId="164" fontId="29" fillId="0" borderId="0" xfId="0" applyFont="1" applyAlignment="1">
      <alignment horizontal="center"/>
    </xf>
    <xf numFmtId="164" fontId="28" fillId="0" borderId="0" xfId="0" applyFont="1" applyAlignment="1">
      <alignment horizontal="right"/>
    </xf>
    <xf numFmtId="171" fontId="28" fillId="0" borderId="16" xfId="0" applyNumberFormat="1" applyFont="1" applyBorder="1" applyAlignment="1">
      <alignment horizontal="center" vertical="center"/>
    </xf>
    <xf numFmtId="171" fontId="28" fillId="0" borderId="10" xfId="0" applyNumberFormat="1" applyFont="1" applyBorder="1" applyAlignment="1">
      <alignment horizontal="center" vertical="center"/>
    </xf>
    <xf numFmtId="171" fontId="28" fillId="0" borderId="10" xfId="0" applyNumberFormat="1" applyFont="1" applyBorder="1" applyAlignment="1">
      <alignment horizontal="center" vertical="center" wrapText="1"/>
    </xf>
    <xf numFmtId="171" fontId="28" fillId="0" borderId="0" xfId="0" applyNumberFormat="1" applyFont="1" applyAlignment="1">
      <alignment horizontal="center" vertical="center"/>
    </xf>
    <xf numFmtId="164" fontId="29" fillId="0" borderId="17" xfId="0" applyFont="1" applyFill="1" applyBorder="1" applyAlignment="1">
      <alignment wrapText="1"/>
    </xf>
    <xf numFmtId="165" fontId="38" fillId="0" borderId="17" xfId="0" applyNumberFormat="1" applyFont="1" applyFill="1" applyBorder="1" applyAlignment="1">
      <alignment horizontal="right" vertical="center"/>
    </xf>
    <xf numFmtId="164" fontId="28" fillId="0" borderId="18" xfId="0" applyFont="1" applyFill="1" applyBorder="1" applyAlignment="1">
      <alignment wrapText="1"/>
    </xf>
    <xf numFmtId="165" fontId="30" fillId="0" borderId="18" xfId="0" applyNumberFormat="1" applyFont="1" applyFill="1" applyBorder="1" applyAlignment="1">
      <alignment horizontal="right" vertical="center"/>
    </xf>
    <xf numFmtId="165" fontId="28" fillId="0" borderId="0" xfId="0" applyNumberFormat="1" applyFont="1" applyAlignment="1">
      <alignment/>
    </xf>
    <xf numFmtId="164" fontId="28" fillId="0" borderId="19" xfId="0" applyFont="1" applyFill="1" applyBorder="1" applyAlignment="1">
      <alignment wrapText="1"/>
    </xf>
    <xf numFmtId="165" fontId="30" fillId="0" borderId="19" xfId="0" applyNumberFormat="1" applyFont="1" applyFill="1" applyBorder="1" applyAlignment="1">
      <alignment horizontal="right" vertical="center"/>
    </xf>
    <xf numFmtId="164" fontId="29" fillId="0" borderId="17" xfId="0" applyFont="1" applyBorder="1" applyAlignment="1">
      <alignment wrapText="1"/>
    </xf>
    <xf numFmtId="165" fontId="38" fillId="0" borderId="18" xfId="0" applyNumberFormat="1" applyFont="1" applyFill="1" applyBorder="1" applyAlignment="1">
      <alignment horizontal="right" vertical="center"/>
    </xf>
    <xf numFmtId="164" fontId="28" fillId="0" borderId="18" xfId="0" applyFont="1" applyBorder="1" applyAlignment="1">
      <alignment wrapText="1"/>
    </xf>
    <xf numFmtId="164" fontId="28" fillId="0" borderId="19" xfId="0" applyFont="1" applyBorder="1" applyAlignment="1">
      <alignment wrapText="1"/>
    </xf>
    <xf numFmtId="172" fontId="28" fillId="0" borderId="0" xfId="0" applyNumberFormat="1" applyFont="1" applyAlignment="1">
      <alignment/>
    </xf>
    <xf numFmtId="173" fontId="28" fillId="0" borderId="0" xfId="0" applyNumberFormat="1" applyFont="1" applyAlignment="1">
      <alignment/>
    </xf>
    <xf numFmtId="164" fontId="29" fillId="0" borderId="10" xfId="0" applyFont="1" applyBorder="1" applyAlignment="1">
      <alignment wrapText="1"/>
    </xf>
    <xf numFmtId="165" fontId="38" fillId="0" borderId="10" xfId="0" applyNumberFormat="1" applyFont="1" applyFill="1" applyBorder="1" applyAlignment="1">
      <alignment horizontal="right" vertical="center"/>
    </xf>
    <xf numFmtId="164" fontId="28" fillId="0" borderId="0" xfId="0" applyFont="1" applyBorder="1" applyAlignment="1">
      <alignment horizontal="right"/>
    </xf>
    <xf numFmtId="164" fontId="28" fillId="0" borderId="10" xfId="0" applyFont="1" applyBorder="1" applyAlignment="1">
      <alignment horizontal="right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center" vertical="center"/>
    </xf>
    <xf numFmtId="164" fontId="28" fillId="0" borderId="10" xfId="0" applyFont="1" applyBorder="1" applyAlignment="1">
      <alignment horizontal="center" vertical="center" wrapText="1"/>
    </xf>
    <xf numFmtId="164" fontId="29" fillId="0" borderId="13" xfId="0" applyFont="1" applyBorder="1" applyAlignment="1">
      <alignment horizontal="left"/>
    </xf>
    <xf numFmtId="165" fontId="18" fillId="0" borderId="13" xfId="0" applyNumberFormat="1" applyFont="1" applyBorder="1" applyAlignment="1">
      <alignment/>
    </xf>
    <xf numFmtId="164" fontId="28" fillId="0" borderId="12" xfId="0" applyFont="1" applyBorder="1" applyAlignment="1">
      <alignment/>
    </xf>
    <xf numFmtId="164" fontId="29" fillId="0" borderId="12" xfId="0" applyFont="1" applyBorder="1" applyAlignment="1">
      <alignment wrapText="1"/>
    </xf>
    <xf numFmtId="164" fontId="29" fillId="0" borderId="12" xfId="0" applyFont="1" applyBorder="1" applyAlignment="1">
      <alignment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85" zoomScaleNormal="85" workbookViewId="0" topLeftCell="A1">
      <selection activeCell="E27" sqref="E27"/>
    </sheetView>
  </sheetViews>
  <sheetFormatPr defaultColWidth="9.140625" defaultRowHeight="12.75"/>
  <cols>
    <col min="1" max="1" width="41.57421875" style="0" customWidth="1"/>
    <col min="2" max="2" width="14.00390625" style="0" customWidth="1"/>
    <col min="4" max="4" width="9.7109375" style="0" customWidth="1"/>
  </cols>
  <sheetData>
    <row r="1" spans="1:2" ht="28.5" customHeight="1">
      <c r="A1" s="1" t="s">
        <v>0</v>
      </c>
      <c r="B1" s="1"/>
    </row>
    <row r="3" ht="12.75">
      <c r="B3" s="2" t="s">
        <v>1</v>
      </c>
    </row>
    <row r="4" spans="1:2" ht="12.75">
      <c r="A4" s="3" t="s">
        <v>2</v>
      </c>
      <c r="B4" s="4">
        <f>SUM(B5:B8)</f>
        <v>90343807</v>
      </c>
    </row>
    <row r="5" spans="1:2" ht="12.75">
      <c r="A5" t="s">
        <v>3</v>
      </c>
      <c r="B5" s="5">
        <f>'lisa 2 (Tulubaas)'!E6</f>
        <v>49061472</v>
      </c>
    </row>
    <row r="6" spans="1:2" ht="12.75">
      <c r="A6" t="s">
        <v>4</v>
      </c>
      <c r="B6" s="5">
        <f>'lisa 2 (Tulubaas)'!E12</f>
        <v>12510241</v>
      </c>
    </row>
    <row r="7" spans="1:2" ht="12.75">
      <c r="A7" t="s">
        <v>5</v>
      </c>
      <c r="B7" s="5">
        <f>'lisa 2 (Tulubaas)'!E25</f>
        <v>28196094</v>
      </c>
    </row>
    <row r="8" spans="1:2" ht="12.75">
      <c r="A8" t="s">
        <v>6</v>
      </c>
      <c r="B8" s="5">
        <f>'lisa 2 (Tulubaas)'!E28</f>
        <v>576000</v>
      </c>
    </row>
    <row r="9" ht="12.75">
      <c r="B9" s="5"/>
    </row>
    <row r="10" spans="1:2" ht="12.75">
      <c r="A10" s="3" t="s">
        <v>7</v>
      </c>
      <c r="B10" s="4">
        <f>SUM(B11,B13:B20)</f>
        <v>85746157</v>
      </c>
    </row>
    <row r="11" spans="1:2" ht="12.75">
      <c r="A11" t="s">
        <v>8</v>
      </c>
      <c r="B11" s="5">
        <f>'Lisa 7 (kululiik)'!E12</f>
        <v>7052072</v>
      </c>
    </row>
    <row r="12" spans="1:2" ht="12.75">
      <c r="A12" t="s">
        <v>9</v>
      </c>
      <c r="B12" s="5">
        <f>'lisa 4 (tulude,kulude jaotus)'!F1075</f>
        <v>703028</v>
      </c>
    </row>
    <row r="13" spans="1:2" ht="12.75">
      <c r="A13" t="s">
        <v>10</v>
      </c>
      <c r="B13" s="5">
        <f>'Lisa 7 (kululiik)'!E17</f>
        <v>252010</v>
      </c>
    </row>
    <row r="14" spans="1:2" ht="12.75">
      <c r="A14" t="s">
        <v>11</v>
      </c>
      <c r="B14" s="5">
        <f>'Lisa 7 (kululiik)'!E21</f>
        <v>10272053</v>
      </c>
    </row>
    <row r="15" spans="1:2" ht="12.75">
      <c r="A15" t="s">
        <v>12</v>
      </c>
      <c r="B15" s="5">
        <f>'Lisa 7 (kululiik)'!E26</f>
        <v>3835031</v>
      </c>
    </row>
    <row r="16" spans="1:2" ht="12.75">
      <c r="A16" t="s">
        <v>13</v>
      </c>
      <c r="B16" s="5">
        <f>'Lisa 7 (kululiik)'!E29</f>
        <v>1455687</v>
      </c>
    </row>
    <row r="17" spans="1:2" ht="12.75">
      <c r="A17" t="s">
        <v>14</v>
      </c>
      <c r="B17" s="5">
        <f>'Lisa 7 (kululiik)'!E33</f>
        <v>406627</v>
      </c>
    </row>
    <row r="18" spans="1:2" ht="12.75">
      <c r="A18" t="s">
        <v>15</v>
      </c>
      <c r="B18" s="5">
        <f>'Lisa 7 (kululiik)'!E36</f>
        <v>7005714</v>
      </c>
    </row>
    <row r="19" spans="1:2" ht="12.75">
      <c r="A19" t="s">
        <v>16</v>
      </c>
      <c r="B19" s="5">
        <f>'Lisa 7 (kululiik)'!E40</f>
        <v>47224033</v>
      </c>
    </row>
    <row r="20" spans="1:2" ht="12.75">
      <c r="A20" t="s">
        <v>17</v>
      </c>
      <c r="B20" s="5">
        <f>'Lisa 7 (kululiik)'!E45</f>
        <v>8242930</v>
      </c>
    </row>
    <row r="21" ht="12.75">
      <c r="B21" s="5"/>
    </row>
    <row r="22" spans="1:2" ht="12.75">
      <c r="A22" s="3" t="s">
        <v>18</v>
      </c>
      <c r="B22" s="4">
        <f>SUM(B23:B25)</f>
        <v>23597053</v>
      </c>
    </row>
    <row r="23" spans="1:2" ht="12.75">
      <c r="A23" t="s">
        <v>19</v>
      </c>
      <c r="B23" s="5">
        <f>'lisa 2 (Tulubaas)'!E37+'lisa 2 (Tulubaas)'!E38</f>
        <v>661350</v>
      </c>
    </row>
    <row r="24" spans="1:2" ht="12.75">
      <c r="A24" t="s">
        <v>20</v>
      </c>
      <c r="B24" s="5">
        <f>'lisa 2 (Tulubaas)'!E40</f>
        <v>22710134</v>
      </c>
    </row>
    <row r="25" spans="1:2" ht="12.75">
      <c r="A25" t="s">
        <v>21</v>
      </c>
      <c r="B25" s="5">
        <f>'lisa 2 (Tulubaas)'!E35+'lisa 2 (Tulubaas)'!E36</f>
        <v>225569</v>
      </c>
    </row>
    <row r="26" ht="12.75">
      <c r="B26" s="5"/>
    </row>
    <row r="27" spans="1:2" ht="12.75">
      <c r="A27" s="3" t="s">
        <v>22</v>
      </c>
      <c r="B27" s="4">
        <f>SUM(B28:B34)</f>
        <v>32287998</v>
      </c>
    </row>
    <row r="28" spans="1:2" ht="12.75">
      <c r="A28" t="s">
        <v>8</v>
      </c>
      <c r="B28" s="5">
        <f>'Lisa 5 (invest)'!F7</f>
        <v>1500701</v>
      </c>
    </row>
    <row r="29" spans="1:2" ht="12.75">
      <c r="A29" t="s">
        <v>11</v>
      </c>
      <c r="B29" s="5">
        <f>'Lisa 5 (invest)'!F8</f>
        <v>19911566</v>
      </c>
    </row>
    <row r="30" spans="1:2" ht="12.75">
      <c r="A30" t="s">
        <v>12</v>
      </c>
      <c r="B30" s="5">
        <f>'Lisa 5 (invest)'!F9</f>
        <v>294217</v>
      </c>
    </row>
    <row r="31" spans="1:2" ht="12.75">
      <c r="A31" t="s">
        <v>13</v>
      </c>
      <c r="B31" s="5">
        <f>'Lisa 5 (invest)'!F10</f>
        <v>220130</v>
      </c>
    </row>
    <row r="32" spans="1:2" ht="12.75">
      <c r="A32" t="s">
        <v>15</v>
      </c>
      <c r="B32" s="5">
        <f>'Lisa 5 (invest)'!F11</f>
        <v>721535</v>
      </c>
    </row>
    <row r="33" spans="1:2" ht="12.75">
      <c r="A33" t="s">
        <v>16</v>
      </c>
      <c r="B33" s="5">
        <f>'Lisa 5 (invest)'!F12</f>
        <v>9635667</v>
      </c>
    </row>
    <row r="34" spans="1:2" ht="12.75">
      <c r="A34" t="s">
        <v>17</v>
      </c>
      <c r="B34" s="5">
        <f>'Lisa 5 (invest)'!F13</f>
        <v>4182</v>
      </c>
    </row>
    <row r="35" ht="12.75">
      <c r="B35" s="5"/>
    </row>
    <row r="36" spans="1:2" ht="12.75">
      <c r="A36" s="6" t="s">
        <v>23</v>
      </c>
      <c r="B36" s="4">
        <f>B4+B22-B10-B27</f>
        <v>-4093295</v>
      </c>
    </row>
    <row r="37" ht="12.75">
      <c r="B37" s="5"/>
    </row>
    <row r="38" spans="1:2" ht="12.75">
      <c r="A38" s="3" t="s">
        <v>24</v>
      </c>
      <c r="B38" s="4">
        <f>SUM(B39:B40)</f>
        <v>2272552</v>
      </c>
    </row>
    <row r="39" spans="1:2" ht="12.75">
      <c r="A39" t="s">
        <v>25</v>
      </c>
      <c r="B39" s="5">
        <v>8385846</v>
      </c>
    </row>
    <row r="40" spans="1:2" ht="12.75">
      <c r="A40" t="s">
        <v>26</v>
      </c>
      <c r="B40" s="5">
        <f>'Lisa 5 (invest)'!F186*-1</f>
        <v>-6113294</v>
      </c>
    </row>
    <row r="41" ht="12.75">
      <c r="B41" s="5"/>
    </row>
    <row r="42" spans="1:4" ht="25.5">
      <c r="A42" s="6" t="s">
        <v>27</v>
      </c>
      <c r="B42" s="5">
        <v>-1820743</v>
      </c>
      <c r="D42" s="5"/>
    </row>
    <row r="43" ht="12.75">
      <c r="B43" s="5"/>
    </row>
    <row r="44" spans="1:2" ht="12.75">
      <c r="A44" s="3" t="s">
        <v>28</v>
      </c>
      <c r="B44" s="4">
        <f>B4+B22+B39-B42</f>
        <v>124147449</v>
      </c>
    </row>
  </sheetData>
  <sheetProtection selectLockedCells="1" selectUnlockedCells="1"/>
  <mergeCells count="1">
    <mergeCell ref="A1:B1"/>
  </mergeCells>
  <printOptions/>
  <pageMargins left="1.4902777777777778" right="0.7479166666666667" top="0.9840277777777777" bottom="0.8451388888888889" header="0.5" footer="0.5118055555555555"/>
  <pageSetup horizontalDpi="300" verticalDpi="300" orientation="portrait" paperSize="9"/>
  <headerFooter alignWithMargins="0">
    <oddHeader>&amp;RLisa 1 Tartu Linnavolikogu
22.12.2011 määruse
nr 53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D40" sqref="D40"/>
    </sheetView>
  </sheetViews>
  <sheetFormatPr defaultColWidth="9.140625" defaultRowHeight="12.75"/>
  <cols>
    <col min="1" max="1" width="8.8515625" style="0" customWidth="1"/>
    <col min="2" max="2" width="38.8515625" style="0" customWidth="1"/>
    <col min="3" max="3" width="10.140625" style="0" customWidth="1"/>
    <col min="4" max="4" width="11.421875" style="0" customWidth="1"/>
    <col min="5" max="5" width="11.140625" style="0" customWidth="1"/>
  </cols>
  <sheetData>
    <row r="1" spans="2:5" ht="15.75" customHeight="1">
      <c r="B1" s="7" t="s">
        <v>29</v>
      </c>
      <c r="C1" s="7"/>
      <c r="D1" s="7"/>
      <c r="E1" s="7"/>
    </row>
    <row r="2" spans="2:5" ht="15.75">
      <c r="B2" s="7" t="s">
        <v>30</v>
      </c>
      <c r="C2" s="7"/>
      <c r="D2" s="7"/>
      <c r="E2" s="7"/>
    </row>
    <row r="3" spans="3:5" ht="12.75">
      <c r="C3" s="5"/>
      <c r="D3" s="5"/>
      <c r="E3" s="8" t="s">
        <v>1</v>
      </c>
    </row>
    <row r="4" spans="1:5" ht="38.25">
      <c r="A4" s="9"/>
      <c r="B4" s="9"/>
      <c r="C4" s="10" t="s">
        <v>31</v>
      </c>
      <c r="D4" s="10" t="s">
        <v>32</v>
      </c>
      <c r="E4" s="11" t="s">
        <v>33</v>
      </c>
    </row>
    <row r="5" spans="1:5" ht="14.25">
      <c r="A5" s="12" t="s">
        <v>34</v>
      </c>
      <c r="B5" s="13" t="s">
        <v>35</v>
      </c>
      <c r="C5" s="14">
        <f>SUM(C28,C25,C12,C6)</f>
        <v>85191000</v>
      </c>
      <c r="D5" s="14">
        <f>SUM(D28,D25,D12,D6)</f>
        <v>5152807</v>
      </c>
      <c r="E5" s="15">
        <f>SUM(C5:D5)</f>
        <v>90343807</v>
      </c>
    </row>
    <row r="6" spans="1:5" ht="14.25">
      <c r="A6" s="16" t="s">
        <v>36</v>
      </c>
      <c r="B6" s="17" t="s">
        <v>3</v>
      </c>
      <c r="C6" s="18">
        <f>SUM(C7:C11)</f>
        <v>49061472</v>
      </c>
      <c r="D6" s="18">
        <f>SUM(D7:D11)</f>
        <v>0</v>
      </c>
      <c r="E6" s="18">
        <f>SUM(C6:D6)</f>
        <v>49061472</v>
      </c>
    </row>
    <row r="7" spans="1:5" ht="15">
      <c r="A7" s="19" t="s">
        <v>37</v>
      </c>
      <c r="B7" s="20" t="s">
        <v>38</v>
      </c>
      <c r="C7" s="21">
        <v>47592000</v>
      </c>
      <c r="D7" s="21"/>
      <c r="E7" s="21">
        <f aca="true" t="shared" si="0" ref="E7:E38">SUM(C7:D7)</f>
        <v>47592000</v>
      </c>
    </row>
    <row r="8" spans="1:5" ht="15">
      <c r="A8" s="19" t="s">
        <v>39</v>
      </c>
      <c r="B8" s="20" t="s">
        <v>40</v>
      </c>
      <c r="C8" s="21">
        <v>777372</v>
      </c>
      <c r="D8" s="21"/>
      <c r="E8" s="21">
        <f t="shared" si="0"/>
        <v>777372</v>
      </c>
    </row>
    <row r="9" spans="1:5" ht="15">
      <c r="A9" s="19" t="s">
        <v>41</v>
      </c>
      <c r="B9" s="20" t="s">
        <v>42</v>
      </c>
      <c r="C9" s="21">
        <v>274600</v>
      </c>
      <c r="D9" s="21"/>
      <c r="E9" s="21">
        <f t="shared" si="0"/>
        <v>274600</v>
      </c>
    </row>
    <row r="10" spans="1:5" ht="15">
      <c r="A10" s="22" t="s">
        <v>43</v>
      </c>
      <c r="B10" s="20" t="s">
        <v>44</v>
      </c>
      <c r="C10" s="21">
        <f>75000+22500</f>
        <v>97500</v>
      </c>
      <c r="D10" s="21"/>
      <c r="E10" s="21">
        <f t="shared" si="0"/>
        <v>97500</v>
      </c>
    </row>
    <row r="11" spans="1:5" ht="15">
      <c r="A11" s="19" t="s">
        <v>45</v>
      </c>
      <c r="B11" s="20" t="s">
        <v>46</v>
      </c>
      <c r="C11" s="21">
        <v>320000</v>
      </c>
      <c r="D11" s="21"/>
      <c r="E11" s="21">
        <f t="shared" si="0"/>
        <v>320000</v>
      </c>
    </row>
    <row r="12" spans="1:5" ht="14.25">
      <c r="A12" s="23" t="s">
        <v>47</v>
      </c>
      <c r="B12" s="17" t="s">
        <v>4</v>
      </c>
      <c r="C12" s="18">
        <f>SUM(C13:C14,C22:C24)</f>
        <v>8069323</v>
      </c>
      <c r="D12" s="18">
        <f>SUM(D13:D14,D22:D24)</f>
        <v>4440918</v>
      </c>
      <c r="E12" s="18">
        <f t="shared" si="0"/>
        <v>12510241</v>
      </c>
    </row>
    <row r="13" spans="1:5" ht="15">
      <c r="A13" s="22" t="s">
        <v>48</v>
      </c>
      <c r="B13" s="20" t="s">
        <v>49</v>
      </c>
      <c r="C13" s="21">
        <v>107900</v>
      </c>
      <c r="D13" s="21"/>
      <c r="E13" s="21">
        <f t="shared" si="0"/>
        <v>107900</v>
      </c>
    </row>
    <row r="14" spans="1:5" ht="15">
      <c r="A14" s="19" t="s">
        <v>50</v>
      </c>
      <c r="B14" s="20" t="s">
        <v>51</v>
      </c>
      <c r="C14" s="21">
        <f>SUM(C15:C21)</f>
        <v>6724486</v>
      </c>
      <c r="D14" s="21">
        <f>SUM(D15:D20)</f>
        <v>3645059</v>
      </c>
      <c r="E14" s="21">
        <f t="shared" si="0"/>
        <v>10369545</v>
      </c>
    </row>
    <row r="15" spans="1:5" ht="15">
      <c r="A15" s="19" t="s">
        <v>52</v>
      </c>
      <c r="B15" s="24" t="s">
        <v>53</v>
      </c>
      <c r="C15" s="25">
        <v>3132057</v>
      </c>
      <c r="D15" s="25">
        <v>2639535</v>
      </c>
      <c r="E15" s="25">
        <f t="shared" si="0"/>
        <v>5771592</v>
      </c>
    </row>
    <row r="16" spans="1:5" ht="30">
      <c r="A16" s="19" t="s">
        <v>54</v>
      </c>
      <c r="B16" s="24" t="s">
        <v>55</v>
      </c>
      <c r="C16" s="25">
        <v>187429</v>
      </c>
      <c r="D16" s="25">
        <v>199314</v>
      </c>
      <c r="E16" s="25">
        <f t="shared" si="0"/>
        <v>386743</v>
      </c>
    </row>
    <row r="17" spans="1:5" ht="30">
      <c r="A17" s="19" t="s">
        <v>56</v>
      </c>
      <c r="B17" s="24" t="s">
        <v>57</v>
      </c>
      <c r="C17" s="25"/>
      <c r="D17" s="25">
        <v>32317</v>
      </c>
      <c r="E17" s="25">
        <f>SUM(C17:D17)</f>
        <v>32317</v>
      </c>
    </row>
    <row r="18" spans="1:5" ht="15">
      <c r="A18" s="19" t="s">
        <v>58</v>
      </c>
      <c r="B18" s="24" t="s">
        <v>59</v>
      </c>
      <c r="C18" s="25">
        <v>5000</v>
      </c>
      <c r="D18" s="25"/>
      <c r="E18" s="25">
        <f>SUM(C18:D18)</f>
        <v>5000</v>
      </c>
    </row>
    <row r="19" spans="1:5" ht="15">
      <c r="A19" s="19" t="s">
        <v>60</v>
      </c>
      <c r="B19" s="24" t="s">
        <v>61</v>
      </c>
      <c r="C19" s="25"/>
      <c r="D19" s="25">
        <v>761193</v>
      </c>
      <c r="E19" s="25">
        <f t="shared" si="0"/>
        <v>761193</v>
      </c>
    </row>
    <row r="20" spans="1:5" ht="15">
      <c r="A20" s="19" t="s">
        <v>62</v>
      </c>
      <c r="B20" s="24" t="s">
        <v>63</v>
      </c>
      <c r="C20" s="25"/>
      <c r="D20" s="25">
        <v>12700</v>
      </c>
      <c r="E20" s="25">
        <f t="shared" si="0"/>
        <v>12700</v>
      </c>
    </row>
    <row r="21" spans="1:5" ht="15">
      <c r="A21" s="19" t="s">
        <v>64</v>
      </c>
      <c r="B21" s="24" t="s">
        <v>65</v>
      </c>
      <c r="C21" s="25">
        <v>3400000</v>
      </c>
      <c r="D21" s="25"/>
      <c r="E21" s="25">
        <f t="shared" si="0"/>
        <v>3400000</v>
      </c>
    </row>
    <row r="22" spans="1:5" ht="15">
      <c r="A22" s="19" t="s">
        <v>66</v>
      </c>
      <c r="B22" s="20" t="s">
        <v>67</v>
      </c>
      <c r="C22" s="21">
        <v>1086057</v>
      </c>
      <c r="D22" s="21">
        <v>795859</v>
      </c>
      <c r="E22" s="21">
        <f t="shared" si="0"/>
        <v>1881916</v>
      </c>
    </row>
    <row r="23" spans="1:5" ht="15">
      <c r="A23" s="19" t="s">
        <v>68</v>
      </c>
      <c r="B23" s="20" t="s">
        <v>69</v>
      </c>
      <c r="C23" s="21">
        <f>65780-2782</f>
        <v>62998</v>
      </c>
      <c r="D23" s="21"/>
      <c r="E23" s="21">
        <f t="shared" si="0"/>
        <v>62998</v>
      </c>
    </row>
    <row r="24" spans="1:5" ht="15">
      <c r="A24" s="19" t="s">
        <v>70</v>
      </c>
      <c r="B24" s="26" t="s">
        <v>71</v>
      </c>
      <c r="C24" s="21">
        <f>75100+12782</f>
        <v>87882</v>
      </c>
      <c r="D24" s="21"/>
      <c r="E24" s="21">
        <f t="shared" si="0"/>
        <v>87882</v>
      </c>
    </row>
    <row r="25" spans="1:5" ht="14.25">
      <c r="A25" s="23" t="s">
        <v>72</v>
      </c>
      <c r="B25" s="17" t="s">
        <v>73</v>
      </c>
      <c r="C25" s="18">
        <f>SUM(C26:C27)</f>
        <v>27484205</v>
      </c>
      <c r="D25" s="18">
        <f>SUM(D26:D27)</f>
        <v>711889</v>
      </c>
      <c r="E25" s="18">
        <f t="shared" si="0"/>
        <v>28196094</v>
      </c>
    </row>
    <row r="26" spans="1:5" ht="15">
      <c r="A26" s="19" t="s">
        <v>74</v>
      </c>
      <c r="B26" s="26" t="s">
        <v>75</v>
      </c>
      <c r="C26" s="21">
        <f>6679162+4568</f>
        <v>6683730</v>
      </c>
      <c r="D26" s="21">
        <v>711889</v>
      </c>
      <c r="E26" s="21">
        <f t="shared" si="0"/>
        <v>7395619</v>
      </c>
    </row>
    <row r="27" spans="1:5" ht="15">
      <c r="A27" s="19" t="s">
        <v>76</v>
      </c>
      <c r="B27" s="26" t="s">
        <v>77</v>
      </c>
      <c r="C27" s="21">
        <f>20588350+212125</f>
        <v>20800475</v>
      </c>
      <c r="D27" s="21"/>
      <c r="E27" s="21">
        <f t="shared" si="0"/>
        <v>20800475</v>
      </c>
    </row>
    <row r="28" spans="1:5" ht="14.25">
      <c r="A28" s="23" t="s">
        <v>78</v>
      </c>
      <c r="B28" s="17" t="s">
        <v>6</v>
      </c>
      <c r="C28" s="18">
        <f>SUM(C29:C31)</f>
        <v>576000</v>
      </c>
      <c r="D28" s="18">
        <f>SUM(D29:D31)</f>
        <v>0</v>
      </c>
      <c r="E28" s="18">
        <f>SUM(C28:D28)</f>
        <v>576000</v>
      </c>
    </row>
    <row r="29" spans="1:5" ht="15">
      <c r="A29" s="19" t="s">
        <v>79</v>
      </c>
      <c r="B29" s="20" t="s">
        <v>80</v>
      </c>
      <c r="C29" s="21">
        <f>165000-10000</f>
        <v>155000</v>
      </c>
      <c r="D29" s="21"/>
      <c r="E29" s="21">
        <f>SUM(C29:D29)</f>
        <v>155000</v>
      </c>
    </row>
    <row r="30" spans="1:5" ht="15">
      <c r="A30" s="19" t="s">
        <v>81</v>
      </c>
      <c r="B30" s="20" t="s">
        <v>82</v>
      </c>
      <c r="C30" s="21">
        <v>300000</v>
      </c>
      <c r="D30" s="21"/>
      <c r="E30" s="21">
        <f>SUM(C30:D30)</f>
        <v>300000</v>
      </c>
    </row>
    <row r="31" spans="1:5" ht="15">
      <c r="A31" s="19" t="s">
        <v>83</v>
      </c>
      <c r="B31" s="20" t="s">
        <v>84</v>
      </c>
      <c r="C31" s="21">
        <v>121000</v>
      </c>
      <c r="D31" s="21"/>
      <c r="E31" s="21">
        <f>SUM(C31:D31)</f>
        <v>121000</v>
      </c>
    </row>
    <row r="32" spans="1:5" ht="15">
      <c r="A32" s="19"/>
      <c r="B32" s="26"/>
      <c r="C32" s="21"/>
      <c r="D32" s="21"/>
      <c r="E32" s="21"/>
    </row>
    <row r="33" spans="1:5" ht="12.75">
      <c r="A33" s="23" t="s">
        <v>85</v>
      </c>
      <c r="B33" s="3" t="s">
        <v>18</v>
      </c>
      <c r="C33" s="18">
        <f>SUM(C34,C39)</f>
        <v>1656288</v>
      </c>
      <c r="D33" s="18">
        <f>SUM(D34,D39)</f>
        <v>21940765</v>
      </c>
      <c r="E33" s="18">
        <f>SUM(C33:D33)</f>
        <v>23597053</v>
      </c>
    </row>
    <row r="34" spans="1:5" ht="14.25">
      <c r="A34" s="23" t="s">
        <v>86</v>
      </c>
      <c r="B34" s="17" t="s">
        <v>87</v>
      </c>
      <c r="C34" s="18">
        <f>SUM(C35:C38)</f>
        <v>886919</v>
      </c>
      <c r="D34" s="18">
        <f>SUM(D35:D38)</f>
        <v>0</v>
      </c>
      <c r="E34" s="18">
        <f t="shared" si="0"/>
        <v>886919</v>
      </c>
    </row>
    <row r="35" spans="1:5" ht="15">
      <c r="A35" s="19" t="s">
        <v>88</v>
      </c>
      <c r="B35" s="20" t="s">
        <v>89</v>
      </c>
      <c r="C35" s="21">
        <v>25569</v>
      </c>
      <c r="D35" s="21"/>
      <c r="E35" s="21">
        <f t="shared" si="0"/>
        <v>25569</v>
      </c>
    </row>
    <row r="36" spans="1:5" ht="15">
      <c r="A36" s="19" t="s">
        <v>90</v>
      </c>
      <c r="B36" s="20" t="s">
        <v>91</v>
      </c>
      <c r="C36" s="21">
        <v>200000</v>
      </c>
      <c r="D36" s="21"/>
      <c r="E36" s="21">
        <f t="shared" si="0"/>
        <v>200000</v>
      </c>
    </row>
    <row r="37" spans="1:5" ht="15">
      <c r="A37" s="19" t="s">
        <v>92</v>
      </c>
      <c r="B37" s="20" t="s">
        <v>93</v>
      </c>
      <c r="C37" s="21">
        <v>61350</v>
      </c>
      <c r="D37" s="21"/>
      <c r="E37" s="21">
        <f t="shared" si="0"/>
        <v>61350</v>
      </c>
    </row>
    <row r="38" spans="1:5" ht="15">
      <c r="A38" s="19" t="s">
        <v>94</v>
      </c>
      <c r="B38" s="20" t="s">
        <v>95</v>
      </c>
      <c r="C38" s="21">
        <v>600000</v>
      </c>
      <c r="D38" s="21"/>
      <c r="E38" s="21">
        <f t="shared" si="0"/>
        <v>600000</v>
      </c>
    </row>
    <row r="39" spans="1:5" ht="14.25">
      <c r="A39" s="27" t="s">
        <v>96</v>
      </c>
      <c r="B39" s="28" t="s">
        <v>73</v>
      </c>
      <c r="C39" s="18">
        <f>SUM(C40)</f>
        <v>769369</v>
      </c>
      <c r="D39" s="18">
        <f>SUM(D40)</f>
        <v>21940765</v>
      </c>
      <c r="E39" s="18">
        <f>SUM(C39:D39)</f>
        <v>22710134</v>
      </c>
    </row>
    <row r="40" spans="1:5" ht="30">
      <c r="A40" s="29" t="s">
        <v>97</v>
      </c>
      <c r="B40" s="30" t="s">
        <v>98</v>
      </c>
      <c r="C40" s="31">
        <v>769369</v>
      </c>
      <c r="D40" s="31">
        <f>17266765+4674000</f>
        <v>21940765</v>
      </c>
      <c r="E40" s="32">
        <f>SUM(C40:D40)</f>
        <v>22710134</v>
      </c>
    </row>
    <row r="41" spans="1:5" ht="12.75">
      <c r="A41" s="33"/>
      <c r="B41" s="33"/>
      <c r="C41" s="31"/>
      <c r="D41" s="31"/>
      <c r="E41" s="31"/>
    </row>
    <row r="42" spans="1:5" ht="14.25">
      <c r="A42" s="16" t="s">
        <v>99</v>
      </c>
      <c r="B42" s="17" t="s">
        <v>24</v>
      </c>
      <c r="C42" s="18">
        <f>SUM(C43)</f>
        <v>8385846</v>
      </c>
      <c r="D42" s="18">
        <f>SUM(D43)</f>
        <v>0</v>
      </c>
      <c r="E42" s="18">
        <f>SUM(C42:D42)</f>
        <v>8385846</v>
      </c>
    </row>
    <row r="43" spans="1:5" ht="15">
      <c r="A43" s="34" t="s">
        <v>100</v>
      </c>
      <c r="B43" s="20" t="s">
        <v>101</v>
      </c>
      <c r="C43" s="21">
        <v>8385846</v>
      </c>
      <c r="D43" s="21"/>
      <c r="E43" s="21">
        <f>SUM(C43:D43)</f>
        <v>8385846</v>
      </c>
    </row>
    <row r="44" spans="1:5" ht="15">
      <c r="A44" s="34"/>
      <c r="B44" s="20"/>
      <c r="C44" s="21"/>
      <c r="D44" s="21"/>
      <c r="E44" s="21"/>
    </row>
    <row r="45" spans="1:5" ht="14.25">
      <c r="A45" s="16" t="s">
        <v>102</v>
      </c>
      <c r="B45" s="17" t="s">
        <v>103</v>
      </c>
      <c r="C45" s="18">
        <v>-1563086</v>
      </c>
      <c r="D45" s="18">
        <v>-257657</v>
      </c>
      <c r="E45" s="18">
        <f>SUM(C45:D45)</f>
        <v>-1820743</v>
      </c>
    </row>
    <row r="46" spans="1:5" ht="15">
      <c r="A46" s="34"/>
      <c r="B46" s="20"/>
      <c r="C46" s="21"/>
      <c r="D46" s="21"/>
      <c r="E46" s="21"/>
    </row>
    <row r="47" spans="1:5" ht="14.25">
      <c r="A47" s="19"/>
      <c r="B47" s="17" t="s">
        <v>104</v>
      </c>
      <c r="C47" s="18">
        <f>C5+C33+C42-C45</f>
        <v>96796220</v>
      </c>
      <c r="D47" s="18">
        <f>D5+D33+D42-D45</f>
        <v>27351229</v>
      </c>
      <c r="E47" s="18">
        <f>SUM(C47:D47)</f>
        <v>124147449</v>
      </c>
    </row>
  </sheetData>
  <sheetProtection selectLockedCells="1" selectUnlockedCells="1"/>
  <mergeCells count="2">
    <mergeCell ref="B1:E1"/>
    <mergeCell ref="B2:E2"/>
  </mergeCells>
  <printOptions/>
  <pageMargins left="0.9902777777777778" right="0.7479166666666667" top="0.9840277777777777" bottom="0.8451388888888889" header="0.5" footer="0.5118055555555555"/>
  <pageSetup horizontalDpi="300" verticalDpi="300" orientation="portrait" paperSize="9" scale="85"/>
  <headerFooter alignWithMargins="0">
    <oddHeader>&amp;RLisa 2 Tartu Linnavolikogu
22.12.2011 määruse
nr 53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1" sqref="B1"/>
    </sheetView>
  </sheetViews>
  <sheetFormatPr defaultColWidth="9.140625" defaultRowHeight="12.75"/>
  <cols>
    <col min="1" max="1" width="6.00390625" style="35" customWidth="1"/>
    <col min="2" max="2" width="42.57421875" style="0" customWidth="1"/>
    <col min="3" max="3" width="12.7109375" style="5" customWidth="1"/>
    <col min="4" max="4" width="13.421875" style="5" customWidth="1"/>
    <col min="5" max="5" width="12.7109375" style="5" customWidth="1"/>
  </cols>
  <sheetData>
    <row r="1" spans="2:5" ht="15.75" customHeight="1">
      <c r="B1" s="7" t="s">
        <v>105</v>
      </c>
      <c r="C1" s="7"/>
      <c r="D1" s="7"/>
      <c r="E1" s="7"/>
    </row>
    <row r="2" spans="2:5" ht="15.75">
      <c r="B2" s="7" t="s">
        <v>106</v>
      </c>
      <c r="C2" s="7"/>
      <c r="D2" s="7"/>
      <c r="E2" s="7"/>
    </row>
    <row r="3" ht="12.75">
      <c r="E3" s="8" t="s">
        <v>1</v>
      </c>
    </row>
    <row r="4" spans="1:5" ht="25.5">
      <c r="A4" s="36"/>
      <c r="B4" s="9"/>
      <c r="C4" s="10" t="s">
        <v>31</v>
      </c>
      <c r="D4" s="10" t="s">
        <v>32</v>
      </c>
      <c r="E4" s="11" t="s">
        <v>33</v>
      </c>
    </row>
    <row r="5" spans="1:5" ht="14.25">
      <c r="A5" s="37">
        <v>2</v>
      </c>
      <c r="B5" s="13" t="s">
        <v>107</v>
      </c>
      <c r="C5" s="38">
        <f>SUM(C6,C13,C17,C25,C27,C30,C32,C39,C44)</f>
        <v>96796220</v>
      </c>
      <c r="D5" s="38">
        <f>SUM(D6,D13,D17,D25,D27,D30,D32,D39,D44)</f>
        <v>27351229</v>
      </c>
      <c r="E5" s="39">
        <f>SUM(C5:D5)</f>
        <v>124147449</v>
      </c>
    </row>
    <row r="6" spans="1:5" ht="14.25">
      <c r="A6" s="40" t="s">
        <v>108</v>
      </c>
      <c r="B6" s="17" t="s">
        <v>8</v>
      </c>
      <c r="C6" s="18">
        <f>SUM(C7:C12)</f>
        <v>14610798</v>
      </c>
      <c r="D6" s="18">
        <f>SUM(D7:D9)</f>
        <v>55269</v>
      </c>
      <c r="E6" s="18">
        <f>SUM(C6:D6)</f>
        <v>14666067</v>
      </c>
    </row>
    <row r="7" spans="1:5" ht="15">
      <c r="A7" s="41"/>
      <c r="B7" s="20" t="s">
        <v>109</v>
      </c>
      <c r="C7" s="21">
        <f>SUM('lisa 4 (tulude,kulude jaotus)'!D15)</f>
        <v>315705</v>
      </c>
      <c r="D7" s="21">
        <f>SUM('lisa 4 (tulude,kulude jaotus)'!E15)</f>
        <v>0</v>
      </c>
      <c r="E7" s="21">
        <f aca="true" t="shared" si="0" ref="E7:E48">SUM(C7:D7)</f>
        <v>315705</v>
      </c>
    </row>
    <row r="8" spans="1:5" ht="15">
      <c r="A8" s="41"/>
      <c r="B8" s="20" t="s">
        <v>110</v>
      </c>
      <c r="C8" s="21">
        <f>SUM('lisa 4 (tulude,kulude jaotus)'!D33,'lisa 4 (tulude,kulude jaotus)'!D41)</f>
        <v>1489491</v>
      </c>
      <c r="D8" s="21">
        <f>SUM('lisa 4 (tulude,kulude jaotus)'!E28)</f>
        <v>0</v>
      </c>
      <c r="E8" s="21">
        <f t="shared" si="0"/>
        <v>1489491</v>
      </c>
    </row>
    <row r="9" spans="1:5" ht="15">
      <c r="A9" s="41"/>
      <c r="B9" s="20" t="s">
        <v>111</v>
      </c>
      <c r="C9" s="21">
        <f>'lisa 4 (tulude,kulude jaotus)'!D101+'lisa 4 (tulude,kulude jaotus)'!D138+'lisa 4 (tulude,kulude jaotus)'!D145+'lisa 4 (tulude,kulude jaotus)'!D174+'lisa 4 (tulude,kulude jaotus)'!D208+'lisa 4 (tulude,kulude jaotus)'!D302+'lisa 4 (tulude,kulude jaotus)'!D450+'lisa 4 (tulude,kulude jaotus)'!D581+'lisa 4 (tulude,kulude jaotus)'!D588+'lisa 4 (tulude,kulude jaotus)'!D619+'lisa 4 (tulude,kulude jaotus)'!D787+'lisa 4 (tulude,kulude jaotus)'!D920+'lisa 4 (tulude,kulude jaotus)'!D1043</f>
        <v>4189890</v>
      </c>
      <c r="D9" s="21">
        <f>'lisa 4 (tulude,kulude jaotus)'!E101+'lisa 4 (tulude,kulude jaotus)'!E138+'lisa 4 (tulude,kulude jaotus)'!E174+'lisa 4 (tulude,kulude jaotus)'!E208+'lisa 4 (tulude,kulude jaotus)'!E302+'lisa 4 (tulude,kulude jaotus)'!E450+'lisa 4 (tulude,kulude jaotus)'!E581+'lisa 4 (tulude,kulude jaotus)'!E619+'lisa 4 (tulude,kulude jaotus)'!E787+'lisa 4 (tulude,kulude jaotus)'!E920+'lisa 4 (tulude,kulude jaotus)'!E1043</f>
        <v>55269</v>
      </c>
      <c r="E9" s="21">
        <f t="shared" si="0"/>
        <v>4245159</v>
      </c>
    </row>
    <row r="10" spans="1:5" ht="15">
      <c r="A10" s="41"/>
      <c r="B10" s="20" t="s">
        <v>112</v>
      </c>
      <c r="C10" s="21">
        <f>'lisa 4 (tulude,kulude jaotus)'!D803+'lisa 4 (tulude,kulude jaotus)'!D626+'lisa 4 (tulude,kulude jaotus)'!D309+'lisa 4 (tulude,kulude jaotus)'!D215</f>
        <v>7587676</v>
      </c>
      <c r="D10" s="21">
        <f>'lisa 4 (tulude,kulude jaotus)'!E803+'lisa 4 (tulude,kulude jaotus)'!E626+'lisa 4 (tulude,kulude jaotus)'!E309+'lisa 4 (tulude,kulude jaotus)'!E215</f>
        <v>0</v>
      </c>
      <c r="E10" s="21">
        <f t="shared" si="0"/>
        <v>7587676</v>
      </c>
    </row>
    <row r="11" spans="1:5" ht="15">
      <c r="A11" s="41"/>
      <c r="B11" s="20" t="s">
        <v>113</v>
      </c>
      <c r="C11" s="21">
        <f>'lisa 4 (tulude,kulude jaotus)'!D795</f>
        <v>325008</v>
      </c>
      <c r="D11" s="21"/>
      <c r="E11" s="21">
        <f t="shared" si="0"/>
        <v>325008</v>
      </c>
    </row>
    <row r="12" spans="1:5" ht="15">
      <c r="A12" s="41"/>
      <c r="B12" s="20" t="s">
        <v>114</v>
      </c>
      <c r="C12" s="21">
        <f>SUM('lisa 4 (tulude,kulude jaotus)'!D1075)</f>
        <v>703028</v>
      </c>
      <c r="D12" s="21">
        <f>SUM('lisa 4 (tulude,kulude jaotus)'!E1075)</f>
        <v>0</v>
      </c>
      <c r="E12" s="21">
        <f t="shared" si="0"/>
        <v>703028</v>
      </c>
    </row>
    <row r="13" spans="1:5" ht="14.25">
      <c r="A13" s="41" t="s">
        <v>115</v>
      </c>
      <c r="B13" s="17" t="s">
        <v>10</v>
      </c>
      <c r="C13" s="18">
        <f>SUM(C14:C16)</f>
        <v>252010</v>
      </c>
      <c r="D13" s="18">
        <f>SUM(D14:D16)</f>
        <v>0</v>
      </c>
      <c r="E13" s="18">
        <f t="shared" si="0"/>
        <v>252010</v>
      </c>
    </row>
    <row r="14" spans="1:5" ht="15">
      <c r="A14" s="41"/>
      <c r="B14" s="20" t="s">
        <v>116</v>
      </c>
      <c r="C14" s="21">
        <f>'lisa 4 (tulude,kulude jaotus)'!D49</f>
        <v>197404</v>
      </c>
      <c r="D14" s="18"/>
      <c r="E14" s="21">
        <f t="shared" si="0"/>
        <v>197404</v>
      </c>
    </row>
    <row r="15" spans="1:5" ht="15">
      <c r="A15" s="41"/>
      <c r="B15" s="20" t="s">
        <v>117</v>
      </c>
      <c r="C15" s="21">
        <f>SUM('lisa 4 (tulude,kulude jaotus)'!D454)</f>
        <v>13639</v>
      </c>
      <c r="D15" s="21">
        <f>SUM('lisa 4 (tulude,kulude jaotus)'!E454)</f>
        <v>0</v>
      </c>
      <c r="E15" s="21">
        <f t="shared" si="0"/>
        <v>13639</v>
      </c>
    </row>
    <row r="16" spans="1:5" ht="15">
      <c r="A16" s="41"/>
      <c r="B16" s="20" t="s">
        <v>118</v>
      </c>
      <c r="C16" s="21">
        <f>'lisa 4 (tulude,kulude jaotus)'!D807</f>
        <v>40967</v>
      </c>
      <c r="D16" s="21"/>
      <c r="E16" s="21">
        <f t="shared" si="0"/>
        <v>40967</v>
      </c>
    </row>
    <row r="17" spans="1:5" ht="14.25">
      <c r="A17" s="41" t="s">
        <v>119</v>
      </c>
      <c r="B17" s="17" t="s">
        <v>11</v>
      </c>
      <c r="C17" s="18">
        <f>SUM(C18:C24)</f>
        <v>14441964</v>
      </c>
      <c r="D17" s="18">
        <f>SUM(D18:D24)</f>
        <v>15741655</v>
      </c>
      <c r="E17" s="18">
        <f t="shared" si="0"/>
        <v>30183619</v>
      </c>
    </row>
    <row r="18" spans="1:5" ht="15">
      <c r="A18" s="41"/>
      <c r="B18" s="20" t="s">
        <v>120</v>
      </c>
      <c r="C18" s="21">
        <f>'lisa 4 (tulude,kulude jaotus)'!D104</f>
        <v>44010</v>
      </c>
      <c r="D18" s="21">
        <f>'lisa 4 (tulude,kulude jaotus)'!E104</f>
        <v>0</v>
      </c>
      <c r="E18" s="21">
        <f t="shared" si="0"/>
        <v>44010</v>
      </c>
    </row>
    <row r="19" spans="1:5" ht="15">
      <c r="A19" s="41"/>
      <c r="B19" s="20" t="s">
        <v>121</v>
      </c>
      <c r="C19" s="21">
        <f>'lisa 4 (tulude,kulude jaotus)'!F148</f>
        <v>178244</v>
      </c>
      <c r="D19" s="21">
        <f>'lisa 4 (tulude,kulude jaotus)'!E161</f>
        <v>1878</v>
      </c>
      <c r="E19" s="21">
        <f t="shared" si="0"/>
        <v>180122</v>
      </c>
    </row>
    <row r="20" spans="1:5" ht="15">
      <c r="A20" s="41"/>
      <c r="B20" s="20" t="s">
        <v>122</v>
      </c>
      <c r="C20" s="21">
        <f>'lisa 4 (tulude,kulude jaotus)'!D177</f>
        <v>184950</v>
      </c>
      <c r="D20" s="21">
        <f>'lisa 4 (tulude,kulude jaotus)'!E177</f>
        <v>23540</v>
      </c>
      <c r="E20" s="21">
        <f t="shared" si="0"/>
        <v>208490</v>
      </c>
    </row>
    <row r="21" spans="1:5" ht="15">
      <c r="A21" s="41"/>
      <c r="B21" s="20" t="s">
        <v>117</v>
      </c>
      <c r="C21" s="21">
        <f>SUM('lisa 4 (tulude,kulude jaotus)'!D462)</f>
        <v>12826461</v>
      </c>
      <c r="D21" s="21">
        <f>SUM('lisa 4 (tulude,kulude jaotus)'!E462)</f>
        <v>15241237</v>
      </c>
      <c r="E21" s="21">
        <f t="shared" si="0"/>
        <v>28067698</v>
      </c>
    </row>
    <row r="22" spans="1:5" ht="15">
      <c r="A22" s="41"/>
      <c r="B22" s="20" t="s">
        <v>123</v>
      </c>
      <c r="C22" s="21">
        <f>'lisa 4 (tulude,kulude jaotus)'!D591</f>
        <v>370500</v>
      </c>
      <c r="D22" s="21">
        <f>'lisa 4 (tulude,kulude jaotus)'!E591</f>
        <v>0</v>
      </c>
      <c r="E22" s="21">
        <f t="shared" si="0"/>
        <v>370500</v>
      </c>
    </row>
    <row r="23" spans="1:5" ht="15">
      <c r="A23" s="41"/>
      <c r="B23" s="20" t="s">
        <v>124</v>
      </c>
      <c r="C23" s="21">
        <f>'lisa 4 (tulude,kulude jaotus)'!D630</f>
        <v>764474</v>
      </c>
      <c r="D23" s="21">
        <f>'lisa 4 (tulude,kulude jaotus)'!E630</f>
        <v>475000</v>
      </c>
      <c r="E23" s="21">
        <f t="shared" si="0"/>
        <v>1239474</v>
      </c>
    </row>
    <row r="24" spans="1:5" ht="15">
      <c r="A24" s="41"/>
      <c r="B24" s="20" t="s">
        <v>118</v>
      </c>
      <c r="C24" s="21">
        <f>'lisa 4 (tulude,kulude jaotus)'!D822</f>
        <v>73325</v>
      </c>
      <c r="D24" s="21"/>
      <c r="E24" s="21">
        <f t="shared" si="0"/>
        <v>73325</v>
      </c>
    </row>
    <row r="25" spans="1:5" ht="14.25">
      <c r="A25" s="41" t="s">
        <v>125</v>
      </c>
      <c r="B25" s="17" t="s">
        <v>12</v>
      </c>
      <c r="C25" s="18">
        <f>SUM(C26)</f>
        <v>3650415</v>
      </c>
      <c r="D25" s="18">
        <f>SUM(D26)</f>
        <v>478833</v>
      </c>
      <c r="E25" s="18">
        <f t="shared" si="0"/>
        <v>4129248</v>
      </c>
    </row>
    <row r="26" spans="1:5" ht="15">
      <c r="A26" s="41"/>
      <c r="B26" s="20" t="s">
        <v>126</v>
      </c>
      <c r="C26" s="21">
        <f>SUM('lisa 4 (tulude,kulude jaotus)'!D493)</f>
        <v>3650415</v>
      </c>
      <c r="D26" s="21">
        <f>SUM('lisa 4 (tulude,kulude jaotus)'!E493)</f>
        <v>478833</v>
      </c>
      <c r="E26" s="21">
        <f t="shared" si="0"/>
        <v>4129248</v>
      </c>
    </row>
    <row r="27" spans="1:5" ht="14.25">
      <c r="A27" s="41" t="s">
        <v>127</v>
      </c>
      <c r="B27" s="17" t="s">
        <v>13</v>
      </c>
      <c r="C27" s="18">
        <f>SUM(C28:C29)</f>
        <v>1675817</v>
      </c>
      <c r="D27" s="18">
        <f>SUM(D28:D29)</f>
        <v>0</v>
      </c>
      <c r="E27" s="18">
        <f t="shared" si="0"/>
        <v>1675817</v>
      </c>
    </row>
    <row r="28" spans="1:5" ht="15">
      <c r="A28" s="41"/>
      <c r="B28" s="20" t="s">
        <v>126</v>
      </c>
      <c r="C28" s="21">
        <f>SUM('lisa 4 (tulude,kulude jaotus)'!D540)</f>
        <v>1461861</v>
      </c>
      <c r="D28" s="21">
        <f>SUM('lisa 4 (tulude,kulude jaotus)'!E540)</f>
        <v>0</v>
      </c>
      <c r="E28" s="21">
        <f t="shared" si="0"/>
        <v>1461861</v>
      </c>
    </row>
    <row r="29" spans="1:5" ht="15">
      <c r="A29" s="41"/>
      <c r="B29" s="20" t="s">
        <v>124</v>
      </c>
      <c r="C29" s="21">
        <f>'lisa 4 (tulude,kulude jaotus)'!D662</f>
        <v>213956</v>
      </c>
      <c r="D29" s="21">
        <f>'lisa 4 (tulude,kulude jaotus)'!E662</f>
        <v>0</v>
      </c>
      <c r="E29" s="21">
        <f t="shared" si="0"/>
        <v>213956</v>
      </c>
    </row>
    <row r="30" spans="1:5" ht="14.25">
      <c r="A30" s="41" t="s">
        <v>128</v>
      </c>
      <c r="B30" s="17" t="s">
        <v>14</v>
      </c>
      <c r="C30" s="18">
        <f>SUM(C31:C31)</f>
        <v>406627</v>
      </c>
      <c r="D30" s="18">
        <f>SUM(D31:D31)</f>
        <v>0</v>
      </c>
      <c r="E30" s="18">
        <f t="shared" si="0"/>
        <v>406627</v>
      </c>
    </row>
    <row r="31" spans="1:5" ht="15">
      <c r="A31" s="41"/>
      <c r="B31" s="20" t="s">
        <v>129</v>
      </c>
      <c r="C31" s="21">
        <f>'lisa 4 (tulude,kulude jaotus)'!D1046</f>
        <v>406627</v>
      </c>
      <c r="D31" s="21">
        <f>'lisa 4 (tulude,kulude jaotus)'!E1046</f>
        <v>0</v>
      </c>
      <c r="E31" s="21">
        <f t="shared" si="0"/>
        <v>406627</v>
      </c>
    </row>
    <row r="32" spans="1:5" ht="14.25">
      <c r="A32" s="41" t="s">
        <v>130</v>
      </c>
      <c r="B32" s="17" t="s">
        <v>15</v>
      </c>
      <c r="C32" s="18">
        <f>SUM(C33:C38)</f>
        <v>7478344</v>
      </c>
      <c r="D32" s="18">
        <f>SUM(D33:D38)</f>
        <v>248905</v>
      </c>
      <c r="E32" s="18">
        <f t="shared" si="0"/>
        <v>7727249</v>
      </c>
    </row>
    <row r="33" spans="1:5" ht="15">
      <c r="A33" s="41"/>
      <c r="B33" s="20" t="s">
        <v>116</v>
      </c>
      <c r="C33" s="21">
        <f>'lisa 4 (tulude,kulude jaotus)'!D52</f>
        <v>43824</v>
      </c>
      <c r="D33" s="21">
        <f>'lisa 4 (tulude,kulude jaotus)'!E52</f>
        <v>0</v>
      </c>
      <c r="E33" s="21">
        <f t="shared" si="0"/>
        <v>43824</v>
      </c>
    </row>
    <row r="34" spans="1:5" ht="15">
      <c r="A34" s="41"/>
      <c r="B34" s="20" t="s">
        <v>131</v>
      </c>
      <c r="C34" s="21">
        <f>'lisa 4 (tulude,kulude jaotus)'!D119</f>
        <v>58896</v>
      </c>
      <c r="D34" s="21">
        <f>SUM('lisa 4 (tulude,kulude jaotus)'!E57)</f>
        <v>0</v>
      </c>
      <c r="E34" s="21">
        <f t="shared" si="0"/>
        <v>58896</v>
      </c>
    </row>
    <row r="35" spans="1:5" ht="15">
      <c r="A35" s="41"/>
      <c r="B35" s="20" t="s">
        <v>122</v>
      </c>
      <c r="C35" s="21">
        <f>'lisa 4 (tulude,kulude jaotus)'!D188</f>
        <v>10000</v>
      </c>
      <c r="D35" s="21">
        <f>'lisa 4 (tulude,kulude jaotus)'!E188</f>
        <v>0</v>
      </c>
      <c r="E35" s="21">
        <f t="shared" si="0"/>
        <v>10000</v>
      </c>
    </row>
    <row r="36" spans="1:5" ht="15">
      <c r="A36" s="41"/>
      <c r="B36" s="20" t="s">
        <v>132</v>
      </c>
      <c r="C36" s="21">
        <f>SUM('lisa 4 (tulude,kulude jaotus)'!D313)</f>
        <v>6286354</v>
      </c>
      <c r="D36" s="21">
        <f>SUM('lisa 4 (tulude,kulude jaotus)'!E313)</f>
        <v>248905</v>
      </c>
      <c r="E36" s="21">
        <f t="shared" si="0"/>
        <v>6535259</v>
      </c>
    </row>
    <row r="37" spans="1:5" ht="15">
      <c r="A37" s="41"/>
      <c r="B37" s="20" t="s">
        <v>124</v>
      </c>
      <c r="C37" s="21">
        <f>'lisa 4 (tulude,kulude jaotus)'!D671</f>
        <v>584477</v>
      </c>
      <c r="D37" s="21">
        <f>'lisa 4 (tulude,kulude jaotus)'!E671</f>
        <v>0</v>
      </c>
      <c r="E37" s="21">
        <f t="shared" si="0"/>
        <v>584477</v>
      </c>
    </row>
    <row r="38" spans="1:5" ht="15">
      <c r="A38" s="41"/>
      <c r="B38" s="20" t="s">
        <v>118</v>
      </c>
      <c r="C38" s="21">
        <f>'lisa 4 (tulude,kulude jaotus)'!D830</f>
        <v>494793</v>
      </c>
      <c r="D38" s="21">
        <f>'lisa 4 (tulude,kulude jaotus)'!E830</f>
        <v>0</v>
      </c>
      <c r="E38" s="21">
        <f t="shared" si="0"/>
        <v>494793</v>
      </c>
    </row>
    <row r="39" spans="1:5" ht="14.25">
      <c r="A39" s="41" t="s">
        <v>133</v>
      </c>
      <c r="B39" s="17" t="s">
        <v>16</v>
      </c>
      <c r="C39" s="18">
        <f>SUM(C40:C43)</f>
        <v>46872046</v>
      </c>
      <c r="D39" s="18">
        <f>SUM(D40:D43)</f>
        <v>9987654</v>
      </c>
      <c r="E39" s="18">
        <f t="shared" si="0"/>
        <v>56859700</v>
      </c>
    </row>
    <row r="40" spans="1:5" ht="15">
      <c r="A40" s="41"/>
      <c r="B40" s="20" t="s">
        <v>116</v>
      </c>
      <c r="C40" s="21">
        <f>'lisa 4 (tulude,kulude jaotus)'!D60</f>
        <v>286601</v>
      </c>
      <c r="D40" s="21">
        <f>'lisa 4 (tulude,kulude jaotus)'!E60</f>
        <v>0</v>
      </c>
      <c r="E40" s="21">
        <f t="shared" si="0"/>
        <v>286601</v>
      </c>
    </row>
    <row r="41" spans="1:5" ht="15">
      <c r="A41" s="41"/>
      <c r="B41" s="20" t="s">
        <v>134</v>
      </c>
      <c r="C41" s="21">
        <f>'lisa 4 (tulude,kulude jaotus)'!D219</f>
        <v>41819938</v>
      </c>
      <c r="D41" s="21">
        <f>'lisa 4 (tulude,kulude jaotus)'!E219</f>
        <v>5313654</v>
      </c>
      <c r="E41" s="21">
        <f t="shared" si="0"/>
        <v>47133592</v>
      </c>
    </row>
    <row r="42" spans="1:5" ht="15">
      <c r="A42" s="41"/>
      <c r="B42" s="20" t="s">
        <v>124</v>
      </c>
      <c r="C42" s="21">
        <f>'lisa 4 (tulude,kulude jaotus)'!D715</f>
        <v>3082893</v>
      </c>
      <c r="D42" s="21">
        <f>'lisa 4 (tulude,kulude jaotus)'!E715</f>
        <v>4674000</v>
      </c>
      <c r="E42" s="21">
        <f t="shared" si="0"/>
        <v>7756893</v>
      </c>
    </row>
    <row r="43" spans="1:5" ht="15">
      <c r="A43" s="41"/>
      <c r="B43" s="20" t="s">
        <v>118</v>
      </c>
      <c r="C43" s="21">
        <f>'lisa 4 (tulude,kulude jaotus)'!D880</f>
        <v>1682614</v>
      </c>
      <c r="D43" s="21">
        <f>'lisa 4 (tulude,kulude jaotus)'!E880</f>
        <v>0</v>
      </c>
      <c r="E43" s="21">
        <f t="shared" si="0"/>
        <v>1682614</v>
      </c>
    </row>
    <row r="44" spans="1:5" ht="14.25">
      <c r="A44" s="41" t="s">
        <v>135</v>
      </c>
      <c r="B44" s="17" t="s">
        <v>17</v>
      </c>
      <c r="C44" s="18">
        <f>SUM(C45:C48)</f>
        <v>7408199</v>
      </c>
      <c r="D44" s="18">
        <f>SUM(D45:D48)</f>
        <v>838913</v>
      </c>
      <c r="E44" s="18">
        <f t="shared" si="0"/>
        <v>8247112</v>
      </c>
    </row>
    <row r="45" spans="1:5" ht="15">
      <c r="A45" s="41"/>
      <c r="B45" s="20" t="s">
        <v>136</v>
      </c>
      <c r="C45" s="21">
        <f>'lisa 4 (tulude,kulude jaotus)'!D83</f>
        <v>5053</v>
      </c>
      <c r="D45" s="21">
        <f>'lisa 4 (tulude,kulude jaotus)'!E83</f>
        <v>0</v>
      </c>
      <c r="E45" s="21">
        <f t="shared" si="0"/>
        <v>5053</v>
      </c>
    </row>
    <row r="46" spans="1:5" ht="15">
      <c r="A46" s="41"/>
      <c r="B46" s="20" t="s">
        <v>137</v>
      </c>
      <c r="C46" s="21">
        <f>'lisa 4 (tulude,kulude jaotus)'!D761</f>
        <v>4182</v>
      </c>
      <c r="D46" s="21">
        <f>'lisa 4 (tulude,kulude jaotus)'!E761</f>
        <v>0</v>
      </c>
      <c r="E46" s="21">
        <f t="shared" si="0"/>
        <v>4182</v>
      </c>
    </row>
    <row r="47" spans="1:5" ht="15">
      <c r="A47" s="41"/>
      <c r="B47" s="20" t="s">
        <v>138</v>
      </c>
      <c r="C47" s="21">
        <f>SUM('lisa 4 (tulude,kulude jaotus)'!D923)</f>
        <v>7351167</v>
      </c>
      <c r="D47" s="21">
        <f>SUM('lisa 4 (tulude,kulude jaotus)'!E923)</f>
        <v>838913</v>
      </c>
      <c r="E47" s="21">
        <f t="shared" si="0"/>
        <v>8190080</v>
      </c>
    </row>
    <row r="48" spans="1:5" ht="15">
      <c r="A48" s="41"/>
      <c r="B48" s="20" t="s">
        <v>139</v>
      </c>
      <c r="C48" s="21">
        <f>'lisa 4 (tulude,kulude jaotus)'!D903</f>
        <v>47797</v>
      </c>
      <c r="D48" s="21">
        <f>'lisa 4 (tulude,kulude jaotus)'!E903</f>
        <v>0</v>
      </c>
      <c r="E48" s="21">
        <f t="shared" si="0"/>
        <v>47797</v>
      </c>
    </row>
  </sheetData>
  <sheetProtection selectLockedCells="1" selectUnlockedCells="1"/>
  <mergeCells count="2">
    <mergeCell ref="B1:E1"/>
    <mergeCell ref="B2:E2"/>
  </mergeCells>
  <printOptions/>
  <pageMargins left="0.9402777777777778" right="0.7479166666666667" top="0.9840277777777777" bottom="0.8451388888888889" header="0.5" footer="0.5118055555555555"/>
  <pageSetup horizontalDpi="300" verticalDpi="300" orientation="portrait" paperSize="9" scale="85"/>
  <headerFooter alignWithMargins="0">
    <oddHeader xml:space="preserve">&amp;RLisa 3 Tartu Linnavolikogu 22.12.2011 määruse
nr 53 juurde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83"/>
  <sheetViews>
    <sheetView workbookViewId="0" topLeftCell="A1">
      <selection activeCell="F7" sqref="F7"/>
    </sheetView>
  </sheetViews>
  <sheetFormatPr defaultColWidth="9.140625" defaultRowHeight="12.75"/>
  <cols>
    <col min="1" max="1" width="8.8515625" style="35" customWidth="1"/>
    <col min="2" max="2" width="6.57421875" style="42" customWidth="1"/>
    <col min="3" max="3" width="38.7109375" style="43" customWidth="1"/>
    <col min="4" max="4" width="13.421875" style="5" customWidth="1"/>
    <col min="5" max="5" width="11.57421875" style="5" customWidth="1"/>
    <col min="6" max="6" width="10.7109375" style="5" customWidth="1"/>
    <col min="7" max="7" width="10.00390625" style="0" customWidth="1"/>
    <col min="8" max="8" width="11.140625" style="0" customWidth="1"/>
    <col min="11" max="11" width="8.28125" style="0" customWidth="1"/>
  </cols>
  <sheetData>
    <row r="1" spans="1:11" s="44" customFormat="1" ht="15.75" customHeight="1">
      <c r="A1" s="7" t="s">
        <v>140</v>
      </c>
      <c r="B1" s="7"/>
      <c r="C1" s="7"/>
      <c r="D1" s="7"/>
      <c r="E1" s="7"/>
      <c r="F1" s="7"/>
      <c r="G1"/>
      <c r="H1"/>
      <c r="K1"/>
    </row>
    <row r="2" spans="1:11" s="44" customFormat="1" ht="15.75">
      <c r="A2" s="7" t="s">
        <v>141</v>
      </c>
      <c r="B2" s="7"/>
      <c r="C2" s="7"/>
      <c r="D2" s="7"/>
      <c r="E2" s="7"/>
      <c r="F2" s="7"/>
      <c r="G2"/>
      <c r="H2"/>
      <c r="K2"/>
    </row>
    <row r="3" spans="1:11" s="44" customFormat="1" ht="12.75">
      <c r="A3" s="35"/>
      <c r="B3" s="42"/>
      <c r="C3" s="43"/>
      <c r="D3" s="5"/>
      <c r="E3" s="5"/>
      <c r="F3" s="8" t="s">
        <v>1</v>
      </c>
      <c r="G3"/>
      <c r="H3"/>
      <c r="K3"/>
    </row>
    <row r="4" spans="1:11" s="44" customFormat="1" ht="30">
      <c r="A4" s="45" t="s">
        <v>142</v>
      </c>
      <c r="B4" s="46" t="s">
        <v>143</v>
      </c>
      <c r="C4" s="47" t="s">
        <v>144</v>
      </c>
      <c r="D4" s="48" t="s">
        <v>31</v>
      </c>
      <c r="E4" s="48" t="s">
        <v>32</v>
      </c>
      <c r="F4" s="49" t="s">
        <v>33</v>
      </c>
      <c r="G4"/>
      <c r="H4"/>
      <c r="K4"/>
    </row>
    <row r="5" spans="1:11" s="44" customFormat="1" ht="15">
      <c r="A5" s="50"/>
      <c r="B5" s="51"/>
      <c r="C5" s="52" t="s">
        <v>145</v>
      </c>
      <c r="D5" s="53">
        <f>SUMIF($C$11:$C$1082,$C$12,D$11:D$1082)+D1075</f>
        <v>96796220</v>
      </c>
      <c r="E5" s="53">
        <f>SUMIF($C$11:$C$1082,$C$12,E$11:E$1082)+E1075</f>
        <v>27351229</v>
      </c>
      <c r="F5" s="53">
        <f>SUM(D5:E5)</f>
        <v>124147449</v>
      </c>
      <c r="G5"/>
      <c r="H5"/>
      <c r="K5"/>
    </row>
    <row r="6" spans="1:11" s="44" customFormat="1" ht="15">
      <c r="A6" s="41"/>
      <c r="B6" s="54"/>
      <c r="C6" s="26" t="s">
        <v>146</v>
      </c>
      <c r="D6" s="55">
        <f>SUM(D7:D9)</f>
        <v>96796220</v>
      </c>
      <c r="E6" s="55">
        <f>SUM(E7:E9)</f>
        <v>27351229</v>
      </c>
      <c r="F6" s="56">
        <f>SUM(D6:E6)</f>
        <v>124147449</v>
      </c>
      <c r="G6"/>
      <c r="H6"/>
      <c r="K6"/>
    </row>
    <row r="7" spans="1:11" s="44" customFormat="1" ht="15">
      <c r="A7" s="41"/>
      <c r="B7" s="54"/>
      <c r="C7" s="26" t="s">
        <v>147</v>
      </c>
      <c r="D7" s="56">
        <f>SUMIF($C$11:$C$1314,$C$14,D$11:D$1314)+D1075</f>
        <v>80335693</v>
      </c>
      <c r="E7" s="56">
        <f>SUMIF($C$11:$C$1314,$C$14,E$11:E$1314)+E1075</f>
        <v>5410464</v>
      </c>
      <c r="F7" s="56">
        <f>SUM(D7:E7)</f>
        <v>85746157</v>
      </c>
      <c r="G7"/>
      <c r="H7"/>
      <c r="K7"/>
    </row>
    <row r="8" spans="1:11" s="44" customFormat="1" ht="15">
      <c r="A8" s="41"/>
      <c r="B8" s="54"/>
      <c r="C8" s="26" t="s">
        <v>148</v>
      </c>
      <c r="D8" s="56">
        <f>SUMIF($C$11:$C$1314,$C$35,D$11:D$1314)</f>
        <v>10347233</v>
      </c>
      <c r="E8" s="56">
        <f>SUMIF($C$11:$C$1314,$C$35,E$11:E$1314)</f>
        <v>21940765</v>
      </c>
      <c r="F8" s="56">
        <f>SUM(D8:E8)</f>
        <v>32287998</v>
      </c>
      <c r="G8"/>
      <c r="H8" s="5"/>
      <c r="K8"/>
    </row>
    <row r="9" spans="1:11" s="44" customFormat="1" ht="15">
      <c r="A9" s="41"/>
      <c r="B9" s="54"/>
      <c r="C9" s="26" t="s">
        <v>149</v>
      </c>
      <c r="D9" s="56">
        <f>SUMIF($C$11:$C$1314,$C$9,D$11:D$1314)</f>
        <v>6113294</v>
      </c>
      <c r="E9" s="56">
        <f>SUMIF($C$11:$C$1314,$C$9,E$11:E$1314)</f>
        <v>0</v>
      </c>
      <c r="F9" s="56">
        <f>SUM(D9:E9)</f>
        <v>6113294</v>
      </c>
      <c r="G9"/>
      <c r="H9"/>
      <c r="K9"/>
    </row>
    <row r="10" spans="1:11" s="44" customFormat="1" ht="13.5" customHeight="1">
      <c r="A10" s="41"/>
      <c r="B10" s="54"/>
      <c r="C10" s="26"/>
      <c r="D10" s="56"/>
      <c r="E10" s="56"/>
      <c r="F10" s="56"/>
      <c r="G10"/>
      <c r="H10"/>
      <c r="K10"/>
    </row>
    <row r="11" spans="1:11" s="44" customFormat="1" ht="14.25">
      <c r="A11" s="57" t="s">
        <v>150</v>
      </c>
      <c r="B11" s="58"/>
      <c r="C11" s="59" t="s">
        <v>151</v>
      </c>
      <c r="D11" s="60"/>
      <c r="E11" s="60"/>
      <c r="F11" s="60"/>
      <c r="G11"/>
      <c r="H11"/>
      <c r="K11"/>
    </row>
    <row r="12" spans="1:11" s="44" customFormat="1" ht="14.25">
      <c r="A12" s="57"/>
      <c r="B12" s="58"/>
      <c r="C12" s="59" t="s">
        <v>152</v>
      </c>
      <c r="D12" s="60">
        <f>SUM(D17)</f>
        <v>315705</v>
      </c>
      <c r="E12" s="60">
        <f>SUM(E17)</f>
        <v>0</v>
      </c>
      <c r="F12" s="60">
        <f>SUM(D12:E12)</f>
        <v>315705</v>
      </c>
      <c r="G12"/>
      <c r="H12"/>
      <c r="K12"/>
    </row>
    <row r="13" spans="1:11" s="44" customFormat="1" ht="14.25">
      <c r="A13" s="57"/>
      <c r="B13" s="58"/>
      <c r="C13" s="59" t="s">
        <v>153</v>
      </c>
      <c r="D13" s="60">
        <f>SUM(D14:D14)</f>
        <v>315705</v>
      </c>
      <c r="E13" s="60">
        <f>SUM(E14:E14)</f>
        <v>0</v>
      </c>
      <c r="F13" s="60">
        <f>SUM(D13:E13)</f>
        <v>315705</v>
      </c>
      <c r="G13"/>
      <c r="H13"/>
      <c r="K13"/>
    </row>
    <row r="14" spans="1:11" s="44" customFormat="1" ht="15">
      <c r="A14" s="41"/>
      <c r="B14" s="54"/>
      <c r="C14" s="26" t="s">
        <v>147</v>
      </c>
      <c r="D14" s="56">
        <f>SUM(D21)</f>
        <v>315705</v>
      </c>
      <c r="E14" s="56">
        <f>SUM(E21)</f>
        <v>0</v>
      </c>
      <c r="F14" s="56">
        <f>SUM(D14:E14)</f>
        <v>315705</v>
      </c>
      <c r="G14"/>
      <c r="H14"/>
      <c r="K14"/>
    </row>
    <row r="15" spans="1:11" s="44" customFormat="1" ht="13.5" customHeight="1">
      <c r="A15" s="61" t="s">
        <v>154</v>
      </c>
      <c r="B15" s="54"/>
      <c r="C15" s="59" t="s">
        <v>8</v>
      </c>
      <c r="D15" s="56">
        <f>SUM(D20)</f>
        <v>315705</v>
      </c>
      <c r="E15" s="56">
        <f>SUM(E20)</f>
        <v>0</v>
      </c>
      <c r="F15" s="56">
        <f>SUM(D15:E15)</f>
        <v>315705</v>
      </c>
      <c r="G15"/>
      <c r="H15"/>
      <c r="K15"/>
    </row>
    <row r="16" spans="1:11" s="44" customFormat="1" ht="15">
      <c r="A16" s="62" t="s">
        <v>155</v>
      </c>
      <c r="B16" s="63" t="s">
        <v>156</v>
      </c>
      <c r="C16" s="24" t="s">
        <v>157</v>
      </c>
      <c r="D16" s="64"/>
      <c r="E16" s="64"/>
      <c r="F16" s="64"/>
      <c r="G16"/>
      <c r="H16"/>
      <c r="K16"/>
    </row>
    <row r="17" spans="1:11" s="44" customFormat="1" ht="14.25">
      <c r="A17" s="41"/>
      <c r="B17" s="54"/>
      <c r="C17" s="59" t="s">
        <v>158</v>
      </c>
      <c r="D17" s="60">
        <f>SUM(D18)</f>
        <v>315705</v>
      </c>
      <c r="E17" s="60">
        <f>SUM(E18)</f>
        <v>0</v>
      </c>
      <c r="F17" s="60">
        <f>SUM(D17:E17)</f>
        <v>315705</v>
      </c>
      <c r="G17"/>
      <c r="H17"/>
      <c r="K17"/>
    </row>
    <row r="18" spans="1:11" s="44" customFormat="1" ht="15">
      <c r="A18" s="41"/>
      <c r="B18" s="54"/>
      <c r="C18" s="26" t="s">
        <v>159</v>
      </c>
      <c r="D18" s="56">
        <f>SUM(D20)</f>
        <v>315705</v>
      </c>
      <c r="E18" s="56"/>
      <c r="F18" s="56">
        <f>SUM(D18:E18)</f>
        <v>315705</v>
      </c>
      <c r="G18"/>
      <c r="H18"/>
      <c r="K18"/>
    </row>
    <row r="19" spans="1:11" s="44" customFormat="1" ht="15">
      <c r="A19" s="41"/>
      <c r="B19" s="54"/>
      <c r="C19" s="26"/>
      <c r="D19" s="56"/>
      <c r="E19" s="56"/>
      <c r="F19" s="56"/>
      <c r="G19"/>
      <c r="H19"/>
      <c r="K19"/>
    </row>
    <row r="20" spans="1:11" s="44" customFormat="1" ht="14.25">
      <c r="A20" s="41"/>
      <c r="B20" s="54"/>
      <c r="C20" s="59" t="s">
        <v>160</v>
      </c>
      <c r="D20" s="60">
        <f>SUM(D21:D21)</f>
        <v>315705</v>
      </c>
      <c r="E20" s="60">
        <f>SUM(E21:E21)</f>
        <v>0</v>
      </c>
      <c r="F20" s="60">
        <f>SUM(D20:E20)</f>
        <v>315705</v>
      </c>
      <c r="G20"/>
      <c r="H20"/>
      <c r="K20"/>
    </row>
    <row r="21" spans="1:11" s="44" customFormat="1" ht="15">
      <c r="A21" s="41"/>
      <c r="B21" s="54"/>
      <c r="C21" s="26" t="s">
        <v>161</v>
      </c>
      <c r="D21" s="56">
        <f>315440+1765-1500</f>
        <v>315705</v>
      </c>
      <c r="E21" s="56"/>
      <c r="F21" s="56">
        <f>SUM(D21:E21)</f>
        <v>315705</v>
      </c>
      <c r="G21"/>
      <c r="H21"/>
      <c r="K21"/>
    </row>
    <row r="22" spans="1:11" s="44" customFormat="1" ht="15">
      <c r="A22" s="41"/>
      <c r="B22" s="54"/>
      <c r="C22" s="26"/>
      <c r="D22" s="56"/>
      <c r="E22" s="56"/>
      <c r="F22" s="56"/>
      <c r="G22"/>
      <c r="H22"/>
      <c r="K22"/>
    </row>
    <row r="23" spans="1:11" s="44" customFormat="1" ht="14.25">
      <c r="A23" s="61" t="s">
        <v>162</v>
      </c>
      <c r="B23" s="58"/>
      <c r="C23" s="59" t="s">
        <v>163</v>
      </c>
      <c r="D23" s="60"/>
      <c r="E23" s="60"/>
      <c r="F23" s="60"/>
      <c r="G23"/>
      <c r="H23"/>
      <c r="K23"/>
    </row>
    <row r="24" spans="1:11" s="44" customFormat="1" ht="14.25">
      <c r="A24" s="57"/>
      <c r="B24" s="58"/>
      <c r="C24" s="59" t="s">
        <v>152</v>
      </c>
      <c r="D24" s="60">
        <f>SUM(D30,D46,D38,D54,D62,D69,D76,D85)</f>
        <v>2022373</v>
      </c>
      <c r="E24" s="60">
        <f>SUM(E30,E46,E38,E54,E62,E69,E76,E85)</f>
        <v>0</v>
      </c>
      <c r="F24" s="60">
        <f>SUM(D24:E24)</f>
        <v>2022373</v>
      </c>
      <c r="G24"/>
      <c r="H24"/>
      <c r="K24"/>
    </row>
    <row r="25" spans="1:11" s="44" customFormat="1" ht="14.25">
      <c r="A25" s="57"/>
      <c r="B25" s="58"/>
      <c r="C25" s="59" t="s">
        <v>153</v>
      </c>
      <c r="D25" s="60">
        <f>SUM(D26:D27)</f>
        <v>2022373</v>
      </c>
      <c r="E25" s="60">
        <f>SUM(E26:E27)</f>
        <v>0</v>
      </c>
      <c r="F25" s="60">
        <f>SUM(D25:E25)</f>
        <v>2022373</v>
      </c>
      <c r="G25"/>
      <c r="H25"/>
      <c r="K25"/>
    </row>
    <row r="26" spans="1:11" s="44" customFormat="1" ht="15">
      <c r="A26" s="41"/>
      <c r="B26" s="54"/>
      <c r="C26" s="26" t="s">
        <v>147</v>
      </c>
      <c r="D26" s="56">
        <f>SUMIF($C$28:$C$90,$C$34,D28:D90)</f>
        <v>2003941</v>
      </c>
      <c r="E26" s="56">
        <f>SUMIF($C$28:$C$90,$C$34,E28:E90)</f>
        <v>0</v>
      </c>
      <c r="F26" s="56">
        <f>SUM(D26:E26)</f>
        <v>2003941</v>
      </c>
      <c r="G26"/>
      <c r="H26"/>
      <c r="K26"/>
    </row>
    <row r="27" spans="1:11" s="44" customFormat="1" ht="15">
      <c r="A27" s="41"/>
      <c r="B27" s="54"/>
      <c r="C27" s="26" t="s">
        <v>148</v>
      </c>
      <c r="D27" s="56">
        <f>SUMIF($C$28:$C$90,$C$35,D28:D90)</f>
        <v>18432</v>
      </c>
      <c r="E27" s="56">
        <f>SUMIF($C$28:$C$90,$C$35,E28:E90)</f>
        <v>0</v>
      </c>
      <c r="F27" s="56">
        <f>SUM(D27:E27)</f>
        <v>18432</v>
      </c>
      <c r="G27"/>
      <c r="H27"/>
      <c r="K27"/>
    </row>
    <row r="28" spans="1:11" s="44" customFormat="1" ht="14.25">
      <c r="A28" s="57" t="s">
        <v>164</v>
      </c>
      <c r="B28" s="54"/>
      <c r="C28" s="59" t="s">
        <v>8</v>
      </c>
      <c r="D28" s="60">
        <f>SUM(D33,D41)</f>
        <v>1489491</v>
      </c>
      <c r="E28" s="60">
        <f>SUM(E33,E41)</f>
        <v>0</v>
      </c>
      <c r="F28" s="60">
        <f>SUM(D28:E28)</f>
        <v>1489491</v>
      </c>
      <c r="G28"/>
      <c r="H28"/>
      <c r="K28"/>
    </row>
    <row r="29" spans="1:11" s="44" customFormat="1" ht="15">
      <c r="A29" s="65" t="s">
        <v>165</v>
      </c>
      <c r="B29" s="63" t="s">
        <v>166</v>
      </c>
      <c r="C29" s="24" t="s">
        <v>167</v>
      </c>
      <c r="D29" s="64"/>
      <c r="E29" s="64"/>
      <c r="F29" s="64"/>
      <c r="G29"/>
      <c r="H29"/>
      <c r="K29"/>
    </row>
    <row r="30" spans="1:11" s="44" customFormat="1" ht="14.25">
      <c r="A30" s="41"/>
      <c r="B30" s="54"/>
      <c r="C30" s="59" t="s">
        <v>158</v>
      </c>
      <c r="D30" s="60">
        <f>SUM(D31:D31)</f>
        <v>1392326</v>
      </c>
      <c r="E30" s="60">
        <f>SUM(E31:E31)</f>
        <v>0</v>
      </c>
      <c r="F30" s="60">
        <f>SUM(D30:E30)</f>
        <v>1392326</v>
      </c>
      <c r="G30"/>
      <c r="H30"/>
      <c r="K30"/>
    </row>
    <row r="31" spans="1:11" s="44" customFormat="1" ht="15">
      <c r="A31" s="41"/>
      <c r="B31" s="54"/>
      <c r="C31" s="26" t="s">
        <v>159</v>
      </c>
      <c r="D31" s="56">
        <f>SUM(D33)</f>
        <v>1392326</v>
      </c>
      <c r="E31" s="56"/>
      <c r="F31" s="56">
        <f>SUM(D31:E31)</f>
        <v>1392326</v>
      </c>
      <c r="G31"/>
      <c r="H31"/>
      <c r="K31"/>
    </row>
    <row r="32" spans="1:11" s="44" customFormat="1" ht="15">
      <c r="A32" s="41"/>
      <c r="B32" s="54"/>
      <c r="C32" s="26"/>
      <c r="D32" s="56"/>
      <c r="E32" s="56"/>
      <c r="F32" s="56"/>
      <c r="G32"/>
      <c r="H32"/>
      <c r="K32"/>
    </row>
    <row r="33" spans="1:11" s="44" customFormat="1" ht="14.25">
      <c r="A33" s="41"/>
      <c r="B33" s="54"/>
      <c r="C33" s="59" t="s">
        <v>160</v>
      </c>
      <c r="D33" s="60">
        <f>SUM(D34:D35)</f>
        <v>1392326</v>
      </c>
      <c r="E33" s="60">
        <f>SUM(E34:E35)</f>
        <v>0</v>
      </c>
      <c r="F33" s="60">
        <f>SUM(D33:E33)</f>
        <v>1392326</v>
      </c>
      <c r="G33"/>
      <c r="H33"/>
      <c r="K33"/>
    </row>
    <row r="34" spans="1:11" s="44" customFormat="1" ht="15">
      <c r="A34" s="41"/>
      <c r="B34" s="54"/>
      <c r="C34" s="26" t="s">
        <v>161</v>
      </c>
      <c r="D34" s="56">
        <f>1361932+11962</f>
        <v>1373894</v>
      </c>
      <c r="E34" s="56"/>
      <c r="F34" s="56">
        <f>SUM(D34:E34)</f>
        <v>1373894</v>
      </c>
      <c r="G34"/>
      <c r="H34"/>
      <c r="K34"/>
    </row>
    <row r="35" spans="1:11" s="44" customFormat="1" ht="15">
      <c r="A35" s="41"/>
      <c r="B35" s="54"/>
      <c r="C35" s="26" t="s">
        <v>168</v>
      </c>
      <c r="D35" s="56">
        <v>18432</v>
      </c>
      <c r="E35" s="56"/>
      <c r="F35" s="56">
        <f>SUM(D35:E35)</f>
        <v>18432</v>
      </c>
      <c r="G35"/>
      <c r="H35"/>
      <c r="K35"/>
    </row>
    <row r="36" spans="1:11" s="44" customFormat="1" ht="15">
      <c r="A36" s="41"/>
      <c r="B36" s="54"/>
      <c r="C36" s="26"/>
      <c r="D36" s="56"/>
      <c r="E36" s="56"/>
      <c r="F36" s="56"/>
      <c r="G36"/>
      <c r="H36"/>
      <c r="K36"/>
    </row>
    <row r="37" spans="1:11" s="44" customFormat="1" ht="15">
      <c r="A37" s="65" t="s">
        <v>169</v>
      </c>
      <c r="B37" s="63" t="s">
        <v>170</v>
      </c>
      <c r="C37" s="24" t="s">
        <v>171</v>
      </c>
      <c r="D37" s="64"/>
      <c r="E37" s="64"/>
      <c r="F37" s="64"/>
      <c r="G37"/>
      <c r="H37"/>
      <c r="K37"/>
    </row>
    <row r="38" spans="1:11" s="44" customFormat="1" ht="14.25">
      <c r="A38" s="41"/>
      <c r="B38" s="54"/>
      <c r="C38" s="59" t="s">
        <v>158</v>
      </c>
      <c r="D38" s="60">
        <f>SUM(D39)</f>
        <v>97165</v>
      </c>
      <c r="E38" s="60">
        <f>SUM(E39)</f>
        <v>0</v>
      </c>
      <c r="F38" s="60">
        <f>SUM(D38:E38)</f>
        <v>97165</v>
      </c>
      <c r="G38"/>
      <c r="H38"/>
      <c r="K38"/>
    </row>
    <row r="39" spans="1:11" s="44" customFormat="1" ht="15">
      <c r="A39" s="41"/>
      <c r="B39" s="54"/>
      <c r="C39" s="26" t="s">
        <v>159</v>
      </c>
      <c r="D39" s="56">
        <f>SUM(D41)</f>
        <v>97165</v>
      </c>
      <c r="E39" s="56">
        <f>SUM(E41)</f>
        <v>0</v>
      </c>
      <c r="F39" s="56">
        <f>SUM(D39:E39)</f>
        <v>97165</v>
      </c>
      <c r="G39"/>
      <c r="H39"/>
      <c r="K39"/>
    </row>
    <row r="40" spans="1:11" s="44" customFormat="1" ht="15">
      <c r="A40" s="41"/>
      <c r="B40" s="54"/>
      <c r="C40" s="26"/>
      <c r="D40" s="56"/>
      <c r="E40" s="56"/>
      <c r="F40" s="56"/>
      <c r="G40"/>
      <c r="H40"/>
      <c r="K40"/>
    </row>
    <row r="41" spans="1:11" s="44" customFormat="1" ht="14.25">
      <c r="A41" s="41"/>
      <c r="B41" s="54"/>
      <c r="C41" s="59" t="s">
        <v>160</v>
      </c>
      <c r="D41" s="60">
        <f>SUM(D42:D42)</f>
        <v>97165</v>
      </c>
      <c r="E41" s="60">
        <f>SUM(E42:E42)</f>
        <v>0</v>
      </c>
      <c r="F41" s="60">
        <f>SUM(D41:E41)</f>
        <v>97165</v>
      </c>
      <c r="G41"/>
      <c r="H41"/>
      <c r="K41"/>
    </row>
    <row r="42" spans="1:11" s="44" customFormat="1" ht="15">
      <c r="A42" s="41"/>
      <c r="B42" s="54"/>
      <c r="C42" s="26" t="s">
        <v>161</v>
      </c>
      <c r="D42" s="56">
        <v>97165</v>
      </c>
      <c r="E42" s="56"/>
      <c r="F42" s="56">
        <f>SUM(D42:E42)</f>
        <v>97165</v>
      </c>
      <c r="G42"/>
      <c r="H42"/>
      <c r="K42"/>
    </row>
    <row r="43" spans="1:11" s="44" customFormat="1" ht="15">
      <c r="A43" s="41"/>
      <c r="B43" s="54"/>
      <c r="C43" s="26"/>
      <c r="D43" s="56"/>
      <c r="E43" s="56"/>
      <c r="F43" s="56"/>
      <c r="G43"/>
      <c r="H43"/>
      <c r="K43"/>
    </row>
    <row r="44" spans="1:11" s="44" customFormat="1" ht="14.25">
      <c r="A44" s="61" t="s">
        <v>172</v>
      </c>
      <c r="B44" s="58"/>
      <c r="C44" s="59" t="s">
        <v>10</v>
      </c>
      <c r="D44" s="60">
        <f>SUM(D49)</f>
        <v>197404</v>
      </c>
      <c r="E44" s="60">
        <f>SUM(E49)</f>
        <v>0</v>
      </c>
      <c r="F44" s="60">
        <f>SUM(D44:E44)</f>
        <v>197404</v>
      </c>
      <c r="G44"/>
      <c r="H44"/>
      <c r="K44"/>
    </row>
    <row r="45" spans="1:11" s="44" customFormat="1" ht="15">
      <c r="A45" s="65" t="s">
        <v>173</v>
      </c>
      <c r="B45" s="63" t="s">
        <v>174</v>
      </c>
      <c r="C45" s="24" t="s">
        <v>175</v>
      </c>
      <c r="D45" s="56"/>
      <c r="E45" s="56"/>
      <c r="F45" s="56"/>
      <c r="G45"/>
      <c r="H45"/>
      <c r="K45"/>
    </row>
    <row r="46" spans="1:11" s="44" customFormat="1" ht="14.25">
      <c r="A46" s="41"/>
      <c r="B46" s="54"/>
      <c r="C46" s="59" t="s">
        <v>158</v>
      </c>
      <c r="D46" s="60">
        <f>SUM(D47)</f>
        <v>197404</v>
      </c>
      <c r="E46" s="60">
        <f>SUM(E47:E47)</f>
        <v>0</v>
      </c>
      <c r="F46" s="60">
        <f>SUM(D46:E46)</f>
        <v>197404</v>
      </c>
      <c r="G46"/>
      <c r="H46"/>
      <c r="K46"/>
    </row>
    <row r="47" spans="1:11" s="44" customFormat="1" ht="15">
      <c r="A47" s="41"/>
      <c r="B47" s="54"/>
      <c r="C47" s="26" t="s">
        <v>159</v>
      </c>
      <c r="D47" s="56">
        <f>SUM(D49)</f>
        <v>197404</v>
      </c>
      <c r="E47" s="56"/>
      <c r="F47" s="56">
        <f>SUM(D47:E47)</f>
        <v>197404</v>
      </c>
      <c r="G47"/>
      <c r="H47"/>
      <c r="K47"/>
    </row>
    <row r="48" spans="1:11" s="44" customFormat="1" ht="15">
      <c r="A48" s="41"/>
      <c r="B48" s="54"/>
      <c r="C48" s="26"/>
      <c r="D48" s="56"/>
      <c r="E48" s="56"/>
      <c r="F48" s="56"/>
      <c r="G48"/>
      <c r="H48"/>
      <c r="K48"/>
    </row>
    <row r="49" spans="1:11" s="44" customFormat="1" ht="14.25">
      <c r="A49" s="41"/>
      <c r="B49" s="54"/>
      <c r="C49" s="59" t="s">
        <v>160</v>
      </c>
      <c r="D49" s="60">
        <f>SUM(D50:D50)</f>
        <v>197404</v>
      </c>
      <c r="E49" s="60">
        <f>SUM(E50:E50)</f>
        <v>0</v>
      </c>
      <c r="F49" s="60">
        <f>SUM(D49:E49)</f>
        <v>197404</v>
      </c>
      <c r="G49"/>
      <c r="H49"/>
      <c r="K49"/>
    </row>
    <row r="50" spans="1:11" s="44" customFormat="1" ht="15">
      <c r="A50" s="41"/>
      <c r="B50" s="54"/>
      <c r="C50" s="26" t="s">
        <v>161</v>
      </c>
      <c r="D50" s="56">
        <f>193747+3657</f>
        <v>197404</v>
      </c>
      <c r="E50" s="56"/>
      <c r="F50" s="56">
        <f>SUM(D50:E50)</f>
        <v>197404</v>
      </c>
      <c r="G50"/>
      <c r="H50"/>
      <c r="K50"/>
    </row>
    <row r="51" spans="1:11" s="44" customFormat="1" ht="15">
      <c r="A51" s="41"/>
      <c r="B51" s="54"/>
      <c r="C51" s="26"/>
      <c r="D51" s="56"/>
      <c r="E51" s="56"/>
      <c r="F51" s="56"/>
      <c r="G51"/>
      <c r="H51"/>
      <c r="K51"/>
    </row>
    <row r="52" spans="1:11" s="44" customFormat="1" ht="14.25">
      <c r="A52" s="61" t="s">
        <v>176</v>
      </c>
      <c r="B52" s="58"/>
      <c r="C52" s="59" t="s">
        <v>15</v>
      </c>
      <c r="D52" s="60">
        <f>SUM(D57)</f>
        <v>43824</v>
      </c>
      <c r="E52" s="60">
        <f>SUM(E57)</f>
        <v>0</v>
      </c>
      <c r="F52" s="60">
        <f>SUM(D52:E52)</f>
        <v>43824</v>
      </c>
      <c r="G52"/>
      <c r="H52"/>
      <c r="K52"/>
    </row>
    <row r="53" spans="1:11" s="44" customFormat="1" ht="15">
      <c r="A53" s="65" t="s">
        <v>177</v>
      </c>
      <c r="B53" s="63" t="s">
        <v>178</v>
      </c>
      <c r="C53" s="24" t="s">
        <v>179</v>
      </c>
      <c r="D53" s="56"/>
      <c r="E53" s="56"/>
      <c r="F53" s="56"/>
      <c r="G53"/>
      <c r="H53"/>
      <c r="K53"/>
    </row>
    <row r="54" spans="1:11" s="44" customFormat="1" ht="14.25">
      <c r="A54" s="41"/>
      <c r="B54" s="54"/>
      <c r="C54" s="59" t="s">
        <v>158</v>
      </c>
      <c r="D54" s="60">
        <f>SUM(D55)</f>
        <v>43824</v>
      </c>
      <c r="E54" s="60">
        <f>SUM(E55:E55)</f>
        <v>0</v>
      </c>
      <c r="F54" s="60">
        <f>SUM(D54:E54)</f>
        <v>43824</v>
      </c>
      <c r="G54"/>
      <c r="H54"/>
      <c r="K54"/>
    </row>
    <row r="55" spans="1:11" s="44" customFormat="1" ht="15">
      <c r="A55" s="41"/>
      <c r="B55" s="54"/>
      <c r="C55" s="26" t="s">
        <v>159</v>
      </c>
      <c r="D55" s="56">
        <f>SUM(D57)</f>
        <v>43824</v>
      </c>
      <c r="E55" s="56"/>
      <c r="F55" s="56">
        <f>SUM(D55:E55)</f>
        <v>43824</v>
      </c>
      <c r="G55"/>
      <c r="H55"/>
      <c r="K55"/>
    </row>
    <row r="56" spans="1:11" s="44" customFormat="1" ht="15">
      <c r="A56" s="41"/>
      <c r="B56" s="54"/>
      <c r="C56" s="26"/>
      <c r="D56" s="56"/>
      <c r="E56" s="56"/>
      <c r="F56" s="56"/>
      <c r="G56"/>
      <c r="H56"/>
      <c r="K56"/>
    </row>
    <row r="57" spans="1:11" s="44" customFormat="1" ht="14.25">
      <c r="A57" s="41"/>
      <c r="B57" s="54"/>
      <c r="C57" s="59" t="s">
        <v>160</v>
      </c>
      <c r="D57" s="60">
        <f>SUM(D58:D58)</f>
        <v>43824</v>
      </c>
      <c r="E57" s="60">
        <f>SUM(E58:E58)</f>
        <v>0</v>
      </c>
      <c r="F57" s="60">
        <f>SUM(D57:E57)</f>
        <v>43824</v>
      </c>
      <c r="G57"/>
      <c r="H57"/>
      <c r="K57"/>
    </row>
    <row r="58" spans="1:11" s="44" customFormat="1" ht="15">
      <c r="A58" s="41"/>
      <c r="B58" s="54"/>
      <c r="C58" s="26" t="s">
        <v>161</v>
      </c>
      <c r="D58" s="56">
        <v>43824</v>
      </c>
      <c r="E58" s="56"/>
      <c r="F58" s="56">
        <f>SUM(D58:E58)</f>
        <v>43824</v>
      </c>
      <c r="G58"/>
      <c r="H58"/>
      <c r="K58"/>
    </row>
    <row r="59" spans="1:11" s="44" customFormat="1" ht="15">
      <c r="A59" s="41"/>
      <c r="B59" s="54"/>
      <c r="C59" s="26"/>
      <c r="D59" s="56"/>
      <c r="E59" s="56"/>
      <c r="F59" s="56"/>
      <c r="G59"/>
      <c r="H59"/>
      <c r="K59"/>
    </row>
    <row r="60" spans="1:11" s="44" customFormat="1" ht="14.25">
      <c r="A60" s="57" t="s">
        <v>180</v>
      </c>
      <c r="B60" s="54"/>
      <c r="C60" s="59" t="s">
        <v>16</v>
      </c>
      <c r="D60" s="60">
        <f>SUM(D65,D72,D80)</f>
        <v>286601</v>
      </c>
      <c r="E60" s="60">
        <f>SUM(E65,E72,E80)</f>
        <v>0</v>
      </c>
      <c r="F60" s="60">
        <f>SUM(D60:E60)</f>
        <v>286601</v>
      </c>
      <c r="G60"/>
      <c r="H60"/>
      <c r="K60"/>
    </row>
    <row r="61" spans="1:11" s="44" customFormat="1" ht="15">
      <c r="A61" s="65" t="s">
        <v>181</v>
      </c>
      <c r="B61" s="63" t="s">
        <v>182</v>
      </c>
      <c r="C61" s="24" t="s">
        <v>183</v>
      </c>
      <c r="D61" s="64"/>
      <c r="E61" s="64"/>
      <c r="F61" s="64"/>
      <c r="G61"/>
      <c r="H61"/>
      <c r="K61"/>
    </row>
    <row r="62" spans="1:11" s="44" customFormat="1" ht="14.25">
      <c r="A62" s="41"/>
      <c r="B62" s="54"/>
      <c r="C62" s="59" t="s">
        <v>158</v>
      </c>
      <c r="D62" s="60">
        <f>SUM(D63)</f>
        <v>59832</v>
      </c>
      <c r="E62" s="60">
        <f>SUM(E63)</f>
        <v>0</v>
      </c>
      <c r="F62" s="60">
        <f>SUM(D62:E62)</f>
        <v>59832</v>
      </c>
      <c r="G62"/>
      <c r="H62"/>
      <c r="K62"/>
    </row>
    <row r="63" spans="1:11" s="44" customFormat="1" ht="15">
      <c r="A63" s="41"/>
      <c r="B63" s="54"/>
      <c r="C63" s="26" t="s">
        <v>159</v>
      </c>
      <c r="D63" s="56">
        <f>SUM(D66)</f>
        <v>59832</v>
      </c>
      <c r="E63" s="56"/>
      <c r="F63" s="56">
        <f>SUM(D63:E63)</f>
        <v>59832</v>
      </c>
      <c r="G63"/>
      <c r="H63"/>
      <c r="K63"/>
    </row>
    <row r="64" spans="1:11" s="44" customFormat="1" ht="15">
      <c r="A64" s="41"/>
      <c r="B64" s="54"/>
      <c r="C64" s="26"/>
      <c r="D64" s="56"/>
      <c r="E64" s="56"/>
      <c r="F64" s="56"/>
      <c r="G64"/>
      <c r="H64"/>
      <c r="K64"/>
    </row>
    <row r="65" spans="1:11" s="44" customFormat="1" ht="14.25">
      <c r="A65" s="41"/>
      <c r="B65" s="54"/>
      <c r="C65" s="59" t="s">
        <v>160</v>
      </c>
      <c r="D65" s="60">
        <f>SUM(D66:D66)</f>
        <v>59832</v>
      </c>
      <c r="E65" s="60">
        <f>SUM(E66:E66)</f>
        <v>0</v>
      </c>
      <c r="F65" s="60">
        <f>SUM(D65:E65)</f>
        <v>59832</v>
      </c>
      <c r="G65"/>
      <c r="H65"/>
      <c r="K65"/>
    </row>
    <row r="66" spans="1:11" s="44" customFormat="1" ht="15">
      <c r="A66" s="41"/>
      <c r="B66" s="54"/>
      <c r="C66" s="26" t="s">
        <v>161</v>
      </c>
      <c r="D66" s="56">
        <v>59832</v>
      </c>
      <c r="E66" s="56"/>
      <c r="F66" s="56">
        <f>SUM(D66:E66)</f>
        <v>59832</v>
      </c>
      <c r="G66"/>
      <c r="H66"/>
      <c r="K66"/>
    </row>
    <row r="67" spans="1:11" s="44" customFormat="1" ht="15">
      <c r="A67" s="41"/>
      <c r="B67" s="54"/>
      <c r="C67" s="26"/>
      <c r="D67" s="56"/>
      <c r="E67" s="56"/>
      <c r="F67" s="56"/>
      <c r="G67"/>
      <c r="H67"/>
      <c r="K67"/>
    </row>
    <row r="68" spans="1:11" s="44" customFormat="1" ht="15">
      <c r="A68" s="65" t="s">
        <v>184</v>
      </c>
      <c r="B68" s="63" t="s">
        <v>185</v>
      </c>
      <c r="C68" s="24" t="s">
        <v>186</v>
      </c>
      <c r="D68" s="64"/>
      <c r="E68" s="64"/>
      <c r="F68" s="64"/>
      <c r="G68"/>
      <c r="H68"/>
      <c r="K68"/>
    </row>
    <row r="69" spans="1:11" s="44" customFormat="1" ht="14.25">
      <c r="A69" s="41"/>
      <c r="B69" s="54"/>
      <c r="C69" s="59" t="s">
        <v>158</v>
      </c>
      <c r="D69" s="60">
        <f>SUM(D70)</f>
        <v>187769</v>
      </c>
      <c r="E69" s="60">
        <f>SUM(E70)</f>
        <v>0</v>
      </c>
      <c r="F69" s="60">
        <f>SUM(D69:E69)</f>
        <v>187769</v>
      </c>
      <c r="G69"/>
      <c r="H69"/>
      <c r="K69"/>
    </row>
    <row r="70" spans="1:11" s="44" customFormat="1" ht="15">
      <c r="A70" s="41"/>
      <c r="B70" s="54"/>
      <c r="C70" s="26" t="s">
        <v>159</v>
      </c>
      <c r="D70" s="56">
        <f>SUM(D72)</f>
        <v>187769</v>
      </c>
      <c r="E70" s="56"/>
      <c r="F70" s="56">
        <f>SUM(D70:E70)</f>
        <v>187769</v>
      </c>
      <c r="G70"/>
      <c r="H70"/>
      <c r="K70"/>
    </row>
    <row r="71" spans="1:11" s="44" customFormat="1" ht="15">
      <c r="A71" s="41"/>
      <c r="B71" s="54"/>
      <c r="C71" s="26"/>
      <c r="D71" s="56"/>
      <c r="E71" s="56"/>
      <c r="F71" s="56"/>
      <c r="G71"/>
      <c r="H71"/>
      <c r="K71"/>
    </row>
    <row r="72" spans="1:11" s="44" customFormat="1" ht="14.25">
      <c r="A72" s="41"/>
      <c r="B72" s="54"/>
      <c r="C72" s="59" t="s">
        <v>160</v>
      </c>
      <c r="D72" s="60">
        <f>SUM(D73:D73)</f>
        <v>187769</v>
      </c>
      <c r="E72" s="60">
        <f>SUM(E73:E73)</f>
        <v>0</v>
      </c>
      <c r="F72" s="60">
        <f>SUM(D72:E72)</f>
        <v>187769</v>
      </c>
      <c r="G72"/>
      <c r="H72"/>
      <c r="K72"/>
    </row>
    <row r="73" spans="1:11" s="44" customFormat="1" ht="15">
      <c r="A73" s="41"/>
      <c r="B73" s="54"/>
      <c r="C73" s="26" t="s">
        <v>161</v>
      </c>
      <c r="D73" s="56">
        <v>187769</v>
      </c>
      <c r="E73" s="56"/>
      <c r="F73" s="56">
        <f>SUM(D73:E73)</f>
        <v>187769</v>
      </c>
      <c r="G73"/>
      <c r="H73"/>
      <c r="K73"/>
    </row>
    <row r="74" spans="1:11" s="44" customFormat="1" ht="15">
      <c r="A74" s="41"/>
      <c r="B74" s="54"/>
      <c r="C74" s="26"/>
      <c r="D74" s="56"/>
      <c r="E74" s="56"/>
      <c r="F74" s="56"/>
      <c r="G74"/>
      <c r="H74"/>
      <c r="K74"/>
    </row>
    <row r="75" spans="1:11" s="44" customFormat="1" ht="15">
      <c r="A75" s="65" t="s">
        <v>187</v>
      </c>
      <c r="B75" s="63" t="s">
        <v>188</v>
      </c>
      <c r="C75" s="24" t="s">
        <v>189</v>
      </c>
      <c r="D75" s="64"/>
      <c r="E75" s="64"/>
      <c r="F75" s="64"/>
      <c r="G75"/>
      <c r="H75"/>
      <c r="K75"/>
    </row>
    <row r="76" spans="1:11" s="44" customFormat="1" ht="14.25">
      <c r="A76" s="41"/>
      <c r="B76" s="54"/>
      <c r="C76" s="59" t="s">
        <v>158</v>
      </c>
      <c r="D76" s="60">
        <f>SUM(D77)</f>
        <v>39000</v>
      </c>
      <c r="E76" s="60">
        <f>SUM(E77)</f>
        <v>0</v>
      </c>
      <c r="F76" s="60">
        <f>SUM(D76:E76)</f>
        <v>39000</v>
      </c>
      <c r="G76"/>
      <c r="H76"/>
      <c r="K76"/>
    </row>
    <row r="77" spans="1:11" s="44" customFormat="1" ht="15">
      <c r="A77" s="41"/>
      <c r="B77" s="54"/>
      <c r="C77" s="26" t="s">
        <v>159</v>
      </c>
      <c r="D77" s="56">
        <f>SUM(D80)</f>
        <v>39000</v>
      </c>
      <c r="E77" s="56"/>
      <c r="F77" s="56">
        <f>SUM(D77:E77)</f>
        <v>39000</v>
      </c>
      <c r="G77"/>
      <c r="H77"/>
      <c r="K77"/>
    </row>
    <row r="78" spans="1:11" s="44" customFormat="1" ht="15">
      <c r="A78" s="41"/>
      <c r="B78" s="54"/>
      <c r="C78" s="26" t="s">
        <v>190</v>
      </c>
      <c r="D78" s="56">
        <v>39000</v>
      </c>
      <c r="E78" s="56"/>
      <c r="F78" s="56">
        <f>SUM(D78:E78)</f>
        <v>39000</v>
      </c>
      <c r="G78"/>
      <c r="H78"/>
      <c r="K78"/>
    </row>
    <row r="79" spans="1:11" s="44" customFormat="1" ht="15">
      <c r="A79" s="41"/>
      <c r="B79" s="54"/>
      <c r="C79" s="26"/>
      <c r="D79" s="56"/>
      <c r="E79" s="56"/>
      <c r="F79" s="56"/>
      <c r="G79"/>
      <c r="H79"/>
      <c r="K79"/>
    </row>
    <row r="80" spans="1:11" s="44" customFormat="1" ht="14.25">
      <c r="A80" s="41"/>
      <c r="B80" s="54"/>
      <c r="C80" s="59" t="s">
        <v>160</v>
      </c>
      <c r="D80" s="60">
        <f>SUM(D81:D81)</f>
        <v>39000</v>
      </c>
      <c r="E80" s="60">
        <f>SUM(E81:E81)</f>
        <v>0</v>
      </c>
      <c r="F80" s="60">
        <f>SUM(D80:E80)</f>
        <v>39000</v>
      </c>
      <c r="G80"/>
      <c r="H80"/>
      <c r="K80"/>
    </row>
    <row r="81" spans="1:11" s="44" customFormat="1" ht="15">
      <c r="A81" s="41"/>
      <c r="B81" s="54"/>
      <c r="C81" s="26" t="s">
        <v>161</v>
      </c>
      <c r="D81" s="56">
        <v>39000</v>
      </c>
      <c r="E81" s="56"/>
      <c r="F81" s="56">
        <f>SUM(D81:E81)</f>
        <v>39000</v>
      </c>
      <c r="G81"/>
      <c r="H81"/>
      <c r="K81"/>
    </row>
    <row r="82" spans="1:11" s="44" customFormat="1" ht="15">
      <c r="A82" s="41"/>
      <c r="B82" s="54"/>
      <c r="C82" s="26"/>
      <c r="D82" s="56"/>
      <c r="E82" s="56"/>
      <c r="F82" s="56"/>
      <c r="G82"/>
      <c r="H82"/>
      <c r="K82"/>
    </row>
    <row r="83" spans="1:11" s="44" customFormat="1" ht="14.25">
      <c r="A83" s="57" t="s">
        <v>191</v>
      </c>
      <c r="B83" s="54"/>
      <c r="C83" s="59" t="s">
        <v>17</v>
      </c>
      <c r="D83" s="60">
        <f>SUM(D88)</f>
        <v>5053</v>
      </c>
      <c r="E83" s="60">
        <f>SUM(E88)</f>
        <v>0</v>
      </c>
      <c r="F83" s="60">
        <f>SUM(D83:E83)</f>
        <v>5053</v>
      </c>
      <c r="G83"/>
      <c r="H83"/>
      <c r="K83"/>
    </row>
    <row r="84" spans="1:11" s="44" customFormat="1" ht="15">
      <c r="A84" s="65" t="s">
        <v>192</v>
      </c>
      <c r="B84" s="63">
        <v>10200</v>
      </c>
      <c r="C84" s="24" t="s">
        <v>193</v>
      </c>
      <c r="D84" s="64"/>
      <c r="E84" s="64"/>
      <c r="F84" s="64"/>
      <c r="G84"/>
      <c r="H84"/>
      <c r="K84"/>
    </row>
    <row r="85" spans="1:11" s="44" customFormat="1" ht="14.25">
      <c r="A85" s="41"/>
      <c r="B85" s="54"/>
      <c r="C85" s="59" t="s">
        <v>158</v>
      </c>
      <c r="D85" s="60">
        <f>SUM(D86)</f>
        <v>5053</v>
      </c>
      <c r="E85" s="60">
        <f>SUM(E86)</f>
        <v>0</v>
      </c>
      <c r="F85" s="60">
        <f>SUM(D85:E85)</f>
        <v>5053</v>
      </c>
      <c r="G85"/>
      <c r="H85"/>
      <c r="K85"/>
    </row>
    <row r="86" spans="1:11" s="44" customFormat="1" ht="15">
      <c r="A86" s="41"/>
      <c r="B86" s="54"/>
      <c r="C86" s="26" t="s">
        <v>159</v>
      </c>
      <c r="D86" s="56">
        <f>SUM(D88)</f>
        <v>5053</v>
      </c>
      <c r="E86" s="56"/>
      <c r="F86" s="56">
        <f>SUM(D86:E86)</f>
        <v>5053</v>
      </c>
      <c r="G86"/>
      <c r="H86"/>
      <c r="K86"/>
    </row>
    <row r="87" spans="1:11" s="44" customFormat="1" ht="15">
      <c r="A87" s="41"/>
      <c r="B87" s="54"/>
      <c r="C87" s="26"/>
      <c r="D87" s="56"/>
      <c r="E87" s="56"/>
      <c r="F87" s="56"/>
      <c r="G87"/>
      <c r="H87"/>
      <c r="K87"/>
    </row>
    <row r="88" spans="1:11" s="44" customFormat="1" ht="14.25">
      <c r="A88" s="41"/>
      <c r="B88" s="54"/>
      <c r="C88" s="59" t="s">
        <v>160</v>
      </c>
      <c r="D88" s="60">
        <f>SUM(D89:D89)</f>
        <v>5053</v>
      </c>
      <c r="E88" s="60">
        <f>SUM(E89:E89)</f>
        <v>0</v>
      </c>
      <c r="F88" s="60">
        <f>SUM(D88:E88)</f>
        <v>5053</v>
      </c>
      <c r="G88"/>
      <c r="H88"/>
      <c r="K88"/>
    </row>
    <row r="89" spans="1:11" s="44" customFormat="1" ht="15">
      <c r="A89" s="41"/>
      <c r="B89" s="54"/>
      <c r="C89" s="26" t="s">
        <v>161</v>
      </c>
      <c r="D89" s="56">
        <v>5053</v>
      </c>
      <c r="E89" s="56"/>
      <c r="F89" s="56">
        <f>SUM(D89:E89)</f>
        <v>5053</v>
      </c>
      <c r="G89"/>
      <c r="H89"/>
      <c r="K89"/>
    </row>
    <row r="90" spans="1:11" s="44" customFormat="1" ht="15">
      <c r="A90" s="41"/>
      <c r="B90" s="54"/>
      <c r="C90" s="26"/>
      <c r="D90" s="56"/>
      <c r="E90" s="56"/>
      <c r="F90" s="56"/>
      <c r="G90"/>
      <c r="H90"/>
      <c r="K90"/>
    </row>
    <row r="91" spans="1:11" s="44" customFormat="1" ht="28.5">
      <c r="A91" s="57" t="s">
        <v>194</v>
      </c>
      <c r="B91" s="58"/>
      <c r="C91" s="59" t="s">
        <v>195</v>
      </c>
      <c r="D91" s="56"/>
      <c r="E91" s="56"/>
      <c r="F91" s="56"/>
      <c r="G91"/>
      <c r="H91"/>
      <c r="K91"/>
    </row>
    <row r="92" spans="1:11" s="44" customFormat="1" ht="14.25">
      <c r="A92" s="41"/>
      <c r="B92" s="54"/>
      <c r="C92" s="59" t="s">
        <v>152</v>
      </c>
      <c r="D92" s="60">
        <f>SUM(D98,D106,D121,D113)</f>
        <v>438455</v>
      </c>
      <c r="E92" s="60">
        <f>SUM(E98,E106,E121,E113)</f>
        <v>0</v>
      </c>
      <c r="F92" s="60">
        <f>SUM(D92:E92)</f>
        <v>438455</v>
      </c>
      <c r="G92"/>
      <c r="H92"/>
      <c r="K92"/>
    </row>
    <row r="93" spans="1:11" s="44" customFormat="1" ht="14.25">
      <c r="A93" s="41"/>
      <c r="B93" s="54"/>
      <c r="C93" s="59" t="s">
        <v>153</v>
      </c>
      <c r="D93" s="60">
        <f>SUM(D94:D95)</f>
        <v>438455</v>
      </c>
      <c r="E93" s="60">
        <f>SUM(E94:E94)</f>
        <v>0</v>
      </c>
      <c r="F93" s="60">
        <f>SUM(D93:E93)</f>
        <v>438455</v>
      </c>
      <c r="G93"/>
      <c r="H93"/>
      <c r="K93"/>
    </row>
    <row r="94" spans="1:11" s="44" customFormat="1" ht="15">
      <c r="A94" s="41"/>
      <c r="B94" s="54"/>
      <c r="C94" s="26" t="s">
        <v>147</v>
      </c>
      <c r="D94" s="56">
        <f>SUM(D102,D110,D126,D117)</f>
        <v>408455</v>
      </c>
      <c r="E94" s="56">
        <f>SUM(E102,E110,E126,E117)</f>
        <v>0</v>
      </c>
      <c r="F94" s="56">
        <f>SUM(D94:E94)</f>
        <v>408455</v>
      </c>
      <c r="G94"/>
      <c r="H94"/>
      <c r="K94"/>
    </row>
    <row r="95" spans="1:11" s="44" customFormat="1" ht="15">
      <c r="A95" s="41"/>
      <c r="B95" s="54"/>
      <c r="C95" s="26" t="s">
        <v>196</v>
      </c>
      <c r="D95" s="56">
        <f>SUM(D127)</f>
        <v>30000</v>
      </c>
      <c r="E95" s="56"/>
      <c r="F95" s="56">
        <f>SUM(D95:E95)</f>
        <v>30000</v>
      </c>
      <c r="G95"/>
      <c r="H95"/>
      <c r="K95"/>
    </row>
    <row r="96" spans="1:11" s="44" customFormat="1" ht="14.25">
      <c r="A96" s="57" t="s">
        <v>197</v>
      </c>
      <c r="B96" s="54"/>
      <c r="C96" s="59" t="s">
        <v>8</v>
      </c>
      <c r="D96" s="60">
        <f>SUM(D101)</f>
        <v>335549</v>
      </c>
      <c r="E96" s="60">
        <f>SUM(E101)</f>
        <v>0</v>
      </c>
      <c r="F96" s="60">
        <f>SUM(D96:E96)</f>
        <v>335549</v>
      </c>
      <c r="G96"/>
      <c r="H96"/>
      <c r="K96"/>
    </row>
    <row r="97" spans="1:11" s="44" customFormat="1" ht="15">
      <c r="A97" s="65" t="s">
        <v>198</v>
      </c>
      <c r="B97" s="63" t="s">
        <v>166</v>
      </c>
      <c r="C97" s="24" t="s">
        <v>199</v>
      </c>
      <c r="D97" s="64"/>
      <c r="E97" s="64"/>
      <c r="F97" s="64"/>
      <c r="G97"/>
      <c r="H97"/>
      <c r="K97"/>
    </row>
    <row r="98" spans="1:11" s="44" customFormat="1" ht="14.25">
      <c r="A98" s="41"/>
      <c r="B98" s="54"/>
      <c r="C98" s="59" t="s">
        <v>158</v>
      </c>
      <c r="D98" s="60">
        <f>SUM(D99)</f>
        <v>335549</v>
      </c>
      <c r="E98" s="60">
        <f>SUM(E99)</f>
        <v>0</v>
      </c>
      <c r="F98" s="60">
        <f>SUM(D98:E98)</f>
        <v>335549</v>
      </c>
      <c r="G98"/>
      <c r="H98"/>
      <c r="K98"/>
    </row>
    <row r="99" spans="1:11" s="44" customFormat="1" ht="15">
      <c r="A99" s="41"/>
      <c r="B99" s="54"/>
      <c r="C99" s="26" t="s">
        <v>159</v>
      </c>
      <c r="D99" s="56">
        <f>SUM(D101)</f>
        <v>335549</v>
      </c>
      <c r="E99" s="56"/>
      <c r="F99" s="56">
        <f>SUM(D99:E99)</f>
        <v>335549</v>
      </c>
      <c r="G99"/>
      <c r="H99"/>
      <c r="K99"/>
    </row>
    <row r="100" spans="1:11" s="44" customFormat="1" ht="15">
      <c r="A100" s="41"/>
      <c r="B100" s="54"/>
      <c r="C100" s="26"/>
      <c r="D100" s="56"/>
      <c r="E100" s="56"/>
      <c r="F100" s="56"/>
      <c r="G100"/>
      <c r="H100"/>
      <c r="K100"/>
    </row>
    <row r="101" spans="1:11" s="44" customFormat="1" ht="14.25">
      <c r="A101" s="41"/>
      <c r="B101" s="54"/>
      <c r="C101" s="59" t="s">
        <v>160</v>
      </c>
      <c r="D101" s="60">
        <f>SUM(D102:D102)</f>
        <v>335549</v>
      </c>
      <c r="E101" s="60">
        <f>SUM(E102:E102)</f>
        <v>0</v>
      </c>
      <c r="F101" s="60">
        <f>SUM(D101:E101)</f>
        <v>335549</v>
      </c>
      <c r="G101"/>
      <c r="H101"/>
      <c r="K101"/>
    </row>
    <row r="102" spans="1:11" s="44" customFormat="1" ht="15">
      <c r="A102" s="41"/>
      <c r="B102" s="54"/>
      <c r="C102" s="26" t="s">
        <v>161</v>
      </c>
      <c r="D102" s="56">
        <f>328989+6560</f>
        <v>335549</v>
      </c>
      <c r="E102" s="56"/>
      <c r="F102" s="56">
        <f>SUM(D102:E102)</f>
        <v>335549</v>
      </c>
      <c r="G102"/>
      <c r="H102"/>
      <c r="K102"/>
    </row>
    <row r="103" spans="1:11" s="44" customFormat="1" ht="15">
      <c r="A103" s="41"/>
      <c r="B103" s="54"/>
      <c r="C103" s="26"/>
      <c r="D103" s="56"/>
      <c r="E103" s="56"/>
      <c r="F103" s="56"/>
      <c r="G103"/>
      <c r="H103"/>
      <c r="K103"/>
    </row>
    <row r="104" spans="1:11" s="44" customFormat="1" ht="14.25">
      <c r="A104" s="57" t="s">
        <v>200</v>
      </c>
      <c r="B104" s="58"/>
      <c r="C104" s="59" t="s">
        <v>11</v>
      </c>
      <c r="D104" s="60">
        <f>SUM(D109,D116)</f>
        <v>44010</v>
      </c>
      <c r="E104" s="60">
        <f>SUM(E109,E116)</f>
        <v>0</v>
      </c>
      <c r="F104" s="60">
        <f>SUM(F109,F116)</f>
        <v>44010</v>
      </c>
      <c r="G104"/>
      <c r="H104"/>
      <c r="K104"/>
    </row>
    <row r="105" spans="1:11" s="44" customFormat="1" ht="30">
      <c r="A105" s="65" t="s">
        <v>201</v>
      </c>
      <c r="B105" s="63" t="s">
        <v>202</v>
      </c>
      <c r="C105" s="24" t="s">
        <v>203</v>
      </c>
      <c r="D105" s="64"/>
      <c r="E105" s="64"/>
      <c r="F105" s="64"/>
      <c r="G105"/>
      <c r="H105"/>
      <c r="K105"/>
    </row>
    <row r="106" spans="1:11" s="44" customFormat="1" ht="14.25">
      <c r="A106" s="41"/>
      <c r="B106" s="54"/>
      <c r="C106" s="59" t="s">
        <v>158</v>
      </c>
      <c r="D106" s="60">
        <f>SUM(D107:D107)</f>
        <v>28629</v>
      </c>
      <c r="E106" s="60">
        <f>SUM(E107:E107)</f>
        <v>0</v>
      </c>
      <c r="F106" s="60">
        <f>SUM(D106:E106)</f>
        <v>28629</v>
      </c>
      <c r="G106"/>
      <c r="H106"/>
      <c r="K106"/>
    </row>
    <row r="107" spans="1:11" s="44" customFormat="1" ht="15">
      <c r="A107" s="41"/>
      <c r="B107" s="54"/>
      <c r="C107" s="26" t="s">
        <v>159</v>
      </c>
      <c r="D107" s="56">
        <f>SUM(D109)</f>
        <v>28629</v>
      </c>
      <c r="E107" s="56"/>
      <c r="F107" s="56">
        <f>SUM(D107:E107)</f>
        <v>28629</v>
      </c>
      <c r="G107"/>
      <c r="H107"/>
      <c r="K107"/>
    </row>
    <row r="108" spans="1:11" s="44" customFormat="1" ht="15">
      <c r="A108" s="41"/>
      <c r="B108" s="54"/>
      <c r="C108" s="26"/>
      <c r="D108" s="56"/>
      <c r="E108" s="56"/>
      <c r="F108" s="56"/>
      <c r="G108"/>
      <c r="H108"/>
      <c r="K108"/>
    </row>
    <row r="109" spans="1:11" s="44" customFormat="1" ht="14.25">
      <c r="A109" s="41"/>
      <c r="B109" s="54"/>
      <c r="C109" s="59" t="s">
        <v>160</v>
      </c>
      <c r="D109" s="60">
        <f>SUM(D110:D110)</f>
        <v>28629</v>
      </c>
      <c r="E109" s="60">
        <f>SUM(E110:E110)</f>
        <v>0</v>
      </c>
      <c r="F109" s="60">
        <f>SUM(D109:E109)</f>
        <v>28629</v>
      </c>
      <c r="G109"/>
      <c r="H109"/>
      <c r="K109"/>
    </row>
    <row r="110" spans="1:11" s="44" customFormat="1" ht="15">
      <c r="A110" s="41"/>
      <c r="B110" s="54"/>
      <c r="C110" s="26" t="s">
        <v>161</v>
      </c>
      <c r="D110" s="56">
        <v>28629</v>
      </c>
      <c r="E110" s="56"/>
      <c r="F110" s="56">
        <f>SUM(D110:E110)</f>
        <v>28629</v>
      </c>
      <c r="G110"/>
      <c r="H110"/>
      <c r="K110"/>
    </row>
    <row r="111" spans="1:11" s="44" customFormat="1" ht="15">
      <c r="A111" s="41"/>
      <c r="B111" s="54"/>
      <c r="C111" s="26"/>
      <c r="D111" s="56"/>
      <c r="E111" s="56"/>
      <c r="F111" s="56"/>
      <c r="G111"/>
      <c r="H111"/>
      <c r="K111"/>
    </row>
    <row r="112" spans="1:11" s="44" customFormat="1" ht="15">
      <c r="A112" s="65" t="s">
        <v>204</v>
      </c>
      <c r="B112" s="63" t="s">
        <v>205</v>
      </c>
      <c r="C112" s="24" t="s">
        <v>206</v>
      </c>
      <c r="D112" s="64"/>
      <c r="E112" s="64"/>
      <c r="F112" s="64"/>
      <c r="G112"/>
      <c r="H112"/>
      <c r="K112"/>
    </row>
    <row r="113" spans="1:11" s="44" customFormat="1" ht="14.25">
      <c r="A113" s="41"/>
      <c r="B113" s="54"/>
      <c r="C113" s="59" t="s">
        <v>158</v>
      </c>
      <c r="D113" s="60">
        <f>SUM(D114)</f>
        <v>15381</v>
      </c>
      <c r="E113" s="60">
        <f>SUM(E114)</f>
        <v>0</v>
      </c>
      <c r="F113" s="60">
        <f>SUM(D113:E113)</f>
        <v>15381</v>
      </c>
      <c r="G113"/>
      <c r="H113"/>
      <c r="K113"/>
    </row>
    <row r="114" spans="1:11" s="44" customFormat="1" ht="15">
      <c r="A114" s="41"/>
      <c r="B114" s="54"/>
      <c r="C114" s="26" t="s">
        <v>159</v>
      </c>
      <c r="D114" s="56">
        <f>D116</f>
        <v>15381</v>
      </c>
      <c r="E114" s="56"/>
      <c r="F114" s="56">
        <f>SUM(D114:E114)</f>
        <v>15381</v>
      </c>
      <c r="G114"/>
      <c r="H114"/>
      <c r="K114"/>
    </row>
    <row r="115" spans="1:11" s="44" customFormat="1" ht="15">
      <c r="A115" s="41"/>
      <c r="B115" s="54"/>
      <c r="C115" s="26"/>
      <c r="D115" s="56"/>
      <c r="E115" s="56"/>
      <c r="F115" s="56"/>
      <c r="G115"/>
      <c r="H115"/>
      <c r="K115"/>
    </row>
    <row r="116" spans="1:11" s="44" customFormat="1" ht="14.25">
      <c r="A116" s="41"/>
      <c r="B116" s="54"/>
      <c r="C116" s="59" t="s">
        <v>160</v>
      </c>
      <c r="D116" s="60">
        <f>SUM(D117:D117)</f>
        <v>15381</v>
      </c>
      <c r="E116" s="60">
        <f>SUM(E117:E117)</f>
        <v>0</v>
      </c>
      <c r="F116" s="60">
        <f>SUM(D116:E116)</f>
        <v>15381</v>
      </c>
      <c r="G116"/>
      <c r="H116"/>
      <c r="K116"/>
    </row>
    <row r="117" spans="1:11" s="44" customFormat="1" ht="15">
      <c r="A117" s="41"/>
      <c r="B117" s="54"/>
      <c r="C117" s="26" t="s">
        <v>161</v>
      </c>
      <c r="D117" s="56">
        <v>15381</v>
      </c>
      <c r="E117" s="56"/>
      <c r="F117" s="56">
        <f>SUM(D117:E117)</f>
        <v>15381</v>
      </c>
      <c r="G117"/>
      <c r="H117"/>
      <c r="K117"/>
    </row>
    <row r="118" spans="1:11" s="44" customFormat="1" ht="15">
      <c r="A118" s="41"/>
      <c r="B118" s="54"/>
      <c r="C118" s="26"/>
      <c r="D118" s="56"/>
      <c r="E118" s="56"/>
      <c r="F118" s="56"/>
      <c r="G118"/>
      <c r="H118"/>
      <c r="K118"/>
    </row>
    <row r="119" spans="1:11" s="44" customFormat="1" ht="14.25">
      <c r="A119" s="57" t="s">
        <v>207</v>
      </c>
      <c r="B119" s="58"/>
      <c r="C119" s="59" t="s">
        <v>15</v>
      </c>
      <c r="D119" s="60">
        <f>D125</f>
        <v>58896</v>
      </c>
      <c r="E119" s="60">
        <f>SUM(E125)</f>
        <v>0</v>
      </c>
      <c r="F119" s="60">
        <f>SUM(D119:E119)</f>
        <v>58896</v>
      </c>
      <c r="G119"/>
      <c r="H119"/>
      <c r="K119"/>
    </row>
    <row r="120" spans="1:11" s="44" customFormat="1" ht="15">
      <c r="A120" s="65" t="s">
        <v>208</v>
      </c>
      <c r="B120" s="63" t="s">
        <v>209</v>
      </c>
      <c r="C120" s="24" t="s">
        <v>210</v>
      </c>
      <c r="D120" s="64"/>
      <c r="E120" s="64"/>
      <c r="F120" s="64"/>
      <c r="G120"/>
      <c r="H120"/>
      <c r="K120"/>
    </row>
    <row r="121" spans="1:11" s="44" customFormat="1" ht="14.25">
      <c r="A121" s="41"/>
      <c r="B121" s="54"/>
      <c r="C121" s="59" t="s">
        <v>158</v>
      </c>
      <c r="D121" s="60">
        <f>SUM(D122:D122)</f>
        <v>58896</v>
      </c>
      <c r="E121" s="60">
        <f>SUM(E122:E122)</f>
        <v>0</v>
      </c>
      <c r="F121" s="60">
        <f>SUM(D121:E121)</f>
        <v>58896</v>
      </c>
      <c r="G121"/>
      <c r="H121"/>
      <c r="K121"/>
    </row>
    <row r="122" spans="1:11" s="44" customFormat="1" ht="15">
      <c r="A122" s="41"/>
      <c r="B122" s="54"/>
      <c r="C122" s="26" t="s">
        <v>159</v>
      </c>
      <c r="D122" s="56">
        <f>SUM(D125)</f>
        <v>58896</v>
      </c>
      <c r="E122" s="56"/>
      <c r="F122" s="56">
        <f>SUM(D122:E122)</f>
        <v>58896</v>
      </c>
      <c r="G122"/>
      <c r="H122"/>
      <c r="K122"/>
    </row>
    <row r="123" spans="1:11" s="44" customFormat="1" ht="15">
      <c r="A123" s="41"/>
      <c r="B123" s="54"/>
      <c r="C123" s="26" t="s">
        <v>190</v>
      </c>
      <c r="D123" s="56">
        <v>15977</v>
      </c>
      <c r="E123" s="56"/>
      <c r="F123" s="56">
        <f>SUM(D123:E123)</f>
        <v>15977</v>
      </c>
      <c r="G123"/>
      <c r="H123"/>
      <c r="K123"/>
    </row>
    <row r="124" spans="1:11" s="44" customFormat="1" ht="15">
      <c r="A124" s="41"/>
      <c r="B124" s="54"/>
      <c r="C124" s="26"/>
      <c r="D124" s="56"/>
      <c r="E124" s="56"/>
      <c r="F124" s="56"/>
      <c r="G124"/>
      <c r="H124"/>
      <c r="K124"/>
    </row>
    <row r="125" spans="1:11" s="44" customFormat="1" ht="14.25">
      <c r="A125" s="41"/>
      <c r="B125" s="54"/>
      <c r="C125" s="59" t="s">
        <v>160</v>
      </c>
      <c r="D125" s="60">
        <f>SUM(D126:D127)</f>
        <v>58896</v>
      </c>
      <c r="E125" s="60">
        <f>SUM(E126:E127)</f>
        <v>0</v>
      </c>
      <c r="F125" s="60">
        <f>SUM(D125:E125)</f>
        <v>58896</v>
      </c>
      <c r="G125"/>
      <c r="H125"/>
      <c r="K125"/>
    </row>
    <row r="126" spans="1:11" s="44" customFormat="1" ht="15">
      <c r="A126" s="41"/>
      <c r="B126" s="54"/>
      <c r="C126" s="26" t="s">
        <v>161</v>
      </c>
      <c r="D126" s="56">
        <v>28896</v>
      </c>
      <c r="E126" s="56"/>
      <c r="F126" s="56">
        <f>SUM(D126:E126)</f>
        <v>28896</v>
      </c>
      <c r="G126"/>
      <c r="H126"/>
      <c r="K126"/>
    </row>
    <row r="127" spans="1:11" s="44" customFormat="1" ht="15">
      <c r="A127" s="41"/>
      <c r="B127" s="54"/>
      <c r="C127" s="26" t="s">
        <v>168</v>
      </c>
      <c r="D127" s="56">
        <v>30000</v>
      </c>
      <c r="E127" s="56"/>
      <c r="F127" s="56">
        <f>SUM(D127:E127)</f>
        <v>30000</v>
      </c>
      <c r="G127"/>
      <c r="H127"/>
      <c r="K127"/>
    </row>
    <row r="128" spans="1:11" s="44" customFormat="1" ht="15">
      <c r="A128" s="41"/>
      <c r="B128" s="54"/>
      <c r="C128" s="26"/>
      <c r="D128" s="56"/>
      <c r="E128" s="56"/>
      <c r="F128" s="56"/>
      <c r="G128"/>
      <c r="H128"/>
      <c r="K128"/>
    </row>
    <row r="129" spans="1:11" s="44" customFormat="1" ht="14.25">
      <c r="A129" s="61" t="s">
        <v>211</v>
      </c>
      <c r="B129" s="58"/>
      <c r="C129" s="59" t="s">
        <v>212</v>
      </c>
      <c r="D129" s="60"/>
      <c r="E129" s="60"/>
      <c r="F129" s="60"/>
      <c r="G129"/>
      <c r="H129"/>
      <c r="K129"/>
    </row>
    <row r="130" spans="1:11" s="44" customFormat="1" ht="14.25">
      <c r="A130" s="57"/>
      <c r="B130" s="58"/>
      <c r="C130" s="59" t="s">
        <v>152</v>
      </c>
      <c r="D130" s="60">
        <f>SUM(D135,D142,D150,D157)</f>
        <v>575591</v>
      </c>
      <c r="E130" s="60">
        <f>SUM(E135,E142,E157)</f>
        <v>1878</v>
      </c>
      <c r="F130" s="60">
        <f>SUM(D130:E130)</f>
        <v>577469</v>
      </c>
      <c r="G130"/>
      <c r="H130"/>
      <c r="K130"/>
    </row>
    <row r="131" spans="1:11" s="44" customFormat="1" ht="14.25">
      <c r="A131" s="57"/>
      <c r="B131" s="58"/>
      <c r="C131" s="59" t="s">
        <v>153</v>
      </c>
      <c r="D131" s="60">
        <f>SUM(D132:D132)</f>
        <v>575591</v>
      </c>
      <c r="E131" s="60">
        <f>SUM(E132:E132)</f>
        <v>1878</v>
      </c>
      <c r="F131" s="60">
        <f>SUM(D131:E131)</f>
        <v>577469</v>
      </c>
      <c r="G131"/>
      <c r="H131"/>
      <c r="K131"/>
    </row>
    <row r="132" spans="1:11" s="44" customFormat="1" ht="15">
      <c r="A132" s="41"/>
      <c r="B132" s="54"/>
      <c r="C132" s="26" t="s">
        <v>147</v>
      </c>
      <c r="D132" s="56">
        <f>SUM(D139,D146,D154,D162)</f>
        <v>575591</v>
      </c>
      <c r="E132" s="56">
        <f>SUM(E139,E146,E162)</f>
        <v>1878</v>
      </c>
      <c r="F132" s="56">
        <f>SUM(D132:E132)</f>
        <v>577469</v>
      </c>
      <c r="G132"/>
      <c r="H132"/>
      <c r="K132"/>
    </row>
    <row r="133" spans="1:11" s="44" customFormat="1" ht="14.25">
      <c r="A133" s="57" t="s">
        <v>213</v>
      </c>
      <c r="B133" s="54"/>
      <c r="C133" s="59" t="s">
        <v>8</v>
      </c>
      <c r="D133" s="60">
        <f>SUM(D138,D145)</f>
        <v>397347</v>
      </c>
      <c r="E133" s="60">
        <f>SUM(E138,E145)</f>
        <v>0</v>
      </c>
      <c r="F133" s="60">
        <f>SUM(D133:E133)</f>
        <v>397347</v>
      </c>
      <c r="G133"/>
      <c r="H133"/>
      <c r="K133"/>
    </row>
    <row r="134" spans="1:11" s="44" customFormat="1" ht="15">
      <c r="A134" s="65" t="s">
        <v>214</v>
      </c>
      <c r="B134" s="63" t="s">
        <v>166</v>
      </c>
      <c r="C134" s="24" t="s">
        <v>199</v>
      </c>
      <c r="D134" s="64"/>
      <c r="E134" s="64"/>
      <c r="F134" s="64"/>
      <c r="G134"/>
      <c r="H134"/>
      <c r="K134"/>
    </row>
    <row r="135" spans="1:11" s="44" customFormat="1" ht="14.25">
      <c r="A135" s="41"/>
      <c r="B135" s="54"/>
      <c r="C135" s="59" t="s">
        <v>158</v>
      </c>
      <c r="D135" s="60">
        <f>SUM(D136)</f>
        <v>195560</v>
      </c>
      <c r="E135" s="60">
        <f>SUM(E136)</f>
        <v>0</v>
      </c>
      <c r="F135" s="60">
        <f>SUM(D135:E135)</f>
        <v>195560</v>
      </c>
      <c r="G135"/>
      <c r="H135"/>
      <c r="K135"/>
    </row>
    <row r="136" spans="1:11" s="44" customFormat="1" ht="15">
      <c r="A136" s="41"/>
      <c r="B136" s="54"/>
      <c r="C136" s="26" t="s">
        <v>159</v>
      </c>
      <c r="D136" s="56">
        <f>SUM(D138)</f>
        <v>195560</v>
      </c>
      <c r="E136" s="56"/>
      <c r="F136" s="56">
        <f>SUM(D136:E136)</f>
        <v>195560</v>
      </c>
      <c r="G136"/>
      <c r="H136"/>
      <c r="K136"/>
    </row>
    <row r="137" spans="1:11" s="44" customFormat="1" ht="15">
      <c r="A137" s="41"/>
      <c r="B137" s="54"/>
      <c r="C137" s="26"/>
      <c r="D137" s="56"/>
      <c r="E137" s="56"/>
      <c r="F137" s="56"/>
      <c r="G137"/>
      <c r="H137"/>
      <c r="K137"/>
    </row>
    <row r="138" spans="1:11" s="44" customFormat="1" ht="14.25">
      <c r="A138" s="41"/>
      <c r="B138" s="54"/>
      <c r="C138" s="59" t="s">
        <v>160</v>
      </c>
      <c r="D138" s="60">
        <f>SUM(D139:D139)</f>
        <v>195560</v>
      </c>
      <c r="E138" s="60">
        <f>SUM(E139:E139)</f>
        <v>0</v>
      </c>
      <c r="F138" s="60">
        <f>SUM(D138:E138)</f>
        <v>195560</v>
      </c>
      <c r="G138"/>
      <c r="H138"/>
      <c r="K138"/>
    </row>
    <row r="139" spans="1:11" s="44" customFormat="1" ht="15">
      <c r="A139" s="41"/>
      <c r="B139" s="54"/>
      <c r="C139" s="26" t="s">
        <v>161</v>
      </c>
      <c r="D139" s="56">
        <f>192647+2913</f>
        <v>195560</v>
      </c>
      <c r="E139" s="56"/>
      <c r="F139" s="56">
        <f>SUM(D139:E139)</f>
        <v>195560</v>
      </c>
      <c r="G139"/>
      <c r="H139"/>
      <c r="K139"/>
    </row>
    <row r="140" spans="1:11" s="44" customFormat="1" ht="15">
      <c r="A140" s="41"/>
      <c r="B140" s="54"/>
      <c r="C140" s="26"/>
      <c r="D140" s="56"/>
      <c r="E140" s="56"/>
      <c r="F140" s="56"/>
      <c r="G140"/>
      <c r="H140"/>
      <c r="K140"/>
    </row>
    <row r="141" spans="1:11" s="44" customFormat="1" ht="15">
      <c r="A141" s="65" t="s">
        <v>215</v>
      </c>
      <c r="B141" s="63" t="s">
        <v>170</v>
      </c>
      <c r="C141" s="24" t="s">
        <v>171</v>
      </c>
      <c r="D141" s="64"/>
      <c r="E141" s="64"/>
      <c r="F141" s="64"/>
      <c r="G141"/>
      <c r="H141"/>
      <c r="K141"/>
    </row>
    <row r="142" spans="1:11" s="44" customFormat="1" ht="14.25">
      <c r="A142" s="41"/>
      <c r="B142" s="54"/>
      <c r="C142" s="59" t="s">
        <v>158</v>
      </c>
      <c r="D142" s="60">
        <f>SUM(D143)</f>
        <v>201787</v>
      </c>
      <c r="E142" s="60">
        <f>SUM(E143)</f>
        <v>0</v>
      </c>
      <c r="F142" s="60">
        <f>SUM(D142:E142)</f>
        <v>201787</v>
      </c>
      <c r="G142"/>
      <c r="H142"/>
      <c r="K142"/>
    </row>
    <row r="143" spans="1:11" s="44" customFormat="1" ht="15">
      <c r="A143" s="41"/>
      <c r="B143" s="54"/>
      <c r="C143" s="26" t="s">
        <v>159</v>
      </c>
      <c r="D143" s="56">
        <f>SUM(D145)</f>
        <v>201787</v>
      </c>
      <c r="E143" s="56"/>
      <c r="F143" s="56">
        <f>SUM(D143:E143)</f>
        <v>201787</v>
      </c>
      <c r="G143"/>
      <c r="H143"/>
      <c r="K143"/>
    </row>
    <row r="144" spans="1:11" s="44" customFormat="1" ht="15">
      <c r="A144" s="41"/>
      <c r="B144" s="54"/>
      <c r="C144" s="26"/>
      <c r="D144" s="56"/>
      <c r="E144" s="56"/>
      <c r="F144" s="56"/>
      <c r="G144"/>
      <c r="H144"/>
      <c r="K144"/>
    </row>
    <row r="145" spans="1:11" s="44" customFormat="1" ht="14.25">
      <c r="A145" s="41"/>
      <c r="B145" s="54"/>
      <c r="C145" s="59" t="s">
        <v>160</v>
      </c>
      <c r="D145" s="60">
        <f>SUM(D146:D146)</f>
        <v>201787</v>
      </c>
      <c r="E145" s="60">
        <f>SUM(E146:E146)</f>
        <v>0</v>
      </c>
      <c r="F145" s="60">
        <f>SUM(D145:E145)</f>
        <v>201787</v>
      </c>
      <c r="G145"/>
      <c r="H145"/>
      <c r="K145"/>
    </row>
    <row r="146" spans="1:11" s="44" customFormat="1" ht="15">
      <c r="A146" s="41"/>
      <c r="B146" s="54"/>
      <c r="C146" s="26" t="s">
        <v>161</v>
      </c>
      <c r="D146" s="56">
        <v>201787</v>
      </c>
      <c r="E146" s="56"/>
      <c r="F146" s="56">
        <f>SUM(D146:E146)</f>
        <v>201787</v>
      </c>
      <c r="G146"/>
      <c r="H146"/>
      <c r="K146"/>
    </row>
    <row r="147" spans="1:11" s="44" customFormat="1" ht="15">
      <c r="A147" s="41"/>
      <c r="B147" s="54"/>
      <c r="C147" s="26"/>
      <c r="D147" s="56"/>
      <c r="E147" s="56"/>
      <c r="F147" s="56"/>
      <c r="G147"/>
      <c r="H147"/>
      <c r="K147"/>
    </row>
    <row r="148" spans="1:11" s="44" customFormat="1" ht="14.25">
      <c r="A148" s="41" t="s">
        <v>216</v>
      </c>
      <c r="B148" s="54"/>
      <c r="C148" s="59" t="s">
        <v>11</v>
      </c>
      <c r="D148" s="60">
        <f>SUM(D161,D153)</f>
        <v>178244</v>
      </c>
      <c r="E148" s="60"/>
      <c r="F148" s="60">
        <f>SUM(D148:E148)</f>
        <v>178244</v>
      </c>
      <c r="G148"/>
      <c r="H148"/>
      <c r="K148"/>
    </row>
    <row r="149" spans="1:11" s="44" customFormat="1" ht="15">
      <c r="A149" s="41" t="s">
        <v>217</v>
      </c>
      <c r="B149" s="63" t="s">
        <v>218</v>
      </c>
      <c r="C149" s="24" t="s">
        <v>219</v>
      </c>
      <c r="D149" s="64"/>
      <c r="E149" s="64"/>
      <c r="F149" s="64"/>
      <c r="G149"/>
      <c r="H149"/>
      <c r="K149"/>
    </row>
    <row r="150" spans="1:11" s="44" customFormat="1" ht="14.25">
      <c r="A150" s="41"/>
      <c r="B150" s="54"/>
      <c r="C150" s="59" t="s">
        <v>158</v>
      </c>
      <c r="D150" s="60">
        <f>SUM(D151:D151)</f>
        <v>31956</v>
      </c>
      <c r="E150" s="60">
        <f>SUM(E151:E151)</f>
        <v>0</v>
      </c>
      <c r="F150" s="60">
        <f>SUM(D150:E150)</f>
        <v>31956</v>
      </c>
      <c r="G150"/>
      <c r="H150"/>
      <c r="K150"/>
    </row>
    <row r="151" spans="1:11" s="44" customFormat="1" ht="15">
      <c r="A151" s="41"/>
      <c r="B151" s="54"/>
      <c r="C151" s="26" t="s">
        <v>159</v>
      </c>
      <c r="D151" s="56">
        <f>SUM(D154)</f>
        <v>31956</v>
      </c>
      <c r="E151" s="56"/>
      <c r="F151" s="56">
        <f>SUM(D151:E151)</f>
        <v>31956</v>
      </c>
      <c r="G151"/>
      <c r="H151"/>
      <c r="K151"/>
    </row>
    <row r="152" spans="1:11" s="44" customFormat="1" ht="15">
      <c r="A152" s="41"/>
      <c r="B152" s="54"/>
      <c r="C152" s="26"/>
      <c r="D152" s="56"/>
      <c r="E152" s="56"/>
      <c r="F152" s="56"/>
      <c r="G152"/>
      <c r="H152"/>
      <c r="K152"/>
    </row>
    <row r="153" spans="1:11" s="44" customFormat="1" ht="14.25">
      <c r="A153" s="41"/>
      <c r="B153" s="54"/>
      <c r="C153" s="59" t="s">
        <v>160</v>
      </c>
      <c r="D153" s="60">
        <f>SUM(D154:D154)</f>
        <v>31956</v>
      </c>
      <c r="E153" s="60">
        <f>SUM(E154:E154)</f>
        <v>0</v>
      </c>
      <c r="F153" s="60">
        <f>SUM(D153:E153)</f>
        <v>31956</v>
      </c>
      <c r="G153"/>
      <c r="H153"/>
      <c r="K153"/>
    </row>
    <row r="154" spans="1:11" s="44" customFormat="1" ht="15">
      <c r="A154" s="41"/>
      <c r="B154" s="54"/>
      <c r="C154" s="26" t="s">
        <v>161</v>
      </c>
      <c r="D154" s="56">
        <v>31956</v>
      </c>
      <c r="E154" s="56"/>
      <c r="F154" s="56">
        <f>SUM(D154:E154)</f>
        <v>31956</v>
      </c>
      <c r="G154"/>
      <c r="H154"/>
      <c r="K154"/>
    </row>
    <row r="155" spans="1:11" s="44" customFormat="1" ht="14.25">
      <c r="A155" s="41"/>
      <c r="B155" s="54"/>
      <c r="C155" s="59"/>
      <c r="D155" s="60"/>
      <c r="E155" s="60"/>
      <c r="F155" s="60"/>
      <c r="G155"/>
      <c r="H155"/>
      <c r="K155"/>
    </row>
    <row r="156" spans="1:11" s="44" customFormat="1" ht="15">
      <c r="A156" s="41" t="s">
        <v>220</v>
      </c>
      <c r="B156" s="63" t="s">
        <v>221</v>
      </c>
      <c r="C156" s="24" t="s">
        <v>222</v>
      </c>
      <c r="D156" s="64"/>
      <c r="E156" s="64"/>
      <c r="F156" s="64"/>
      <c r="G156"/>
      <c r="H156"/>
      <c r="K156"/>
    </row>
    <row r="157" spans="1:11" s="44" customFormat="1" ht="14.25">
      <c r="A157" s="41"/>
      <c r="B157" s="54"/>
      <c r="C157" s="59" t="s">
        <v>158</v>
      </c>
      <c r="D157" s="60">
        <f>SUM(D158:D159)</f>
        <v>146288</v>
      </c>
      <c r="E157" s="60">
        <f>SUM(E158:E159)</f>
        <v>1878</v>
      </c>
      <c r="F157" s="60">
        <f>SUM(D157:E157)</f>
        <v>148166</v>
      </c>
      <c r="G157"/>
      <c r="H157"/>
      <c r="K157"/>
    </row>
    <row r="158" spans="1:11" s="44" customFormat="1" ht="15">
      <c r="A158" s="41"/>
      <c r="B158" s="54"/>
      <c r="C158" s="26" t="s">
        <v>159</v>
      </c>
      <c r="D158" s="56">
        <f>SUM(D162)</f>
        <v>146288</v>
      </c>
      <c r="E158" s="56"/>
      <c r="F158" s="56">
        <f>SUM(D158:E158)</f>
        <v>146288</v>
      </c>
      <c r="G158"/>
      <c r="H158"/>
      <c r="K158"/>
    </row>
    <row r="159" spans="1:11" s="44" customFormat="1" ht="15">
      <c r="A159" s="41"/>
      <c r="B159" s="54"/>
      <c r="C159" s="26" t="s">
        <v>223</v>
      </c>
      <c r="D159" s="56"/>
      <c r="E159" s="56">
        <v>1878</v>
      </c>
      <c r="F159" s="56">
        <f>SUM(D159:E159)</f>
        <v>1878</v>
      </c>
      <c r="G159"/>
      <c r="H159"/>
      <c r="K159"/>
    </row>
    <row r="160" spans="1:11" s="44" customFormat="1" ht="15">
      <c r="A160" s="41"/>
      <c r="B160" s="54"/>
      <c r="C160" s="26"/>
      <c r="D160" s="56"/>
      <c r="E160" s="56"/>
      <c r="F160" s="56"/>
      <c r="G160"/>
      <c r="H160"/>
      <c r="K160"/>
    </row>
    <row r="161" spans="1:11" s="44" customFormat="1" ht="14.25">
      <c r="A161" s="41"/>
      <c r="B161" s="54"/>
      <c r="C161" s="59" t="s">
        <v>160</v>
      </c>
      <c r="D161" s="60">
        <f>SUM(D162:D162)</f>
        <v>146288</v>
      </c>
      <c r="E161" s="60">
        <f>SUM(E162:E162)</f>
        <v>1878</v>
      </c>
      <c r="F161" s="60">
        <f>SUM(D161:E161)</f>
        <v>148166</v>
      </c>
      <c r="G161"/>
      <c r="H161"/>
      <c r="K161"/>
    </row>
    <row r="162" spans="1:11" s="44" customFormat="1" ht="15">
      <c r="A162" s="41"/>
      <c r="B162" s="54"/>
      <c r="C162" s="26" t="s">
        <v>161</v>
      </c>
      <c r="D162" s="56">
        <f>9080+146997-9789</f>
        <v>146288</v>
      </c>
      <c r="E162" s="56">
        <v>1878</v>
      </c>
      <c r="F162" s="56">
        <f>SUM(D162:E162)</f>
        <v>148166</v>
      </c>
      <c r="G162"/>
      <c r="H162"/>
      <c r="K162"/>
    </row>
    <row r="163" spans="1:11" s="44" customFormat="1" ht="15">
      <c r="A163" s="41"/>
      <c r="B163" s="54"/>
      <c r="C163" s="26"/>
      <c r="D163" s="56"/>
      <c r="E163" s="56"/>
      <c r="F163" s="56"/>
      <c r="G163"/>
      <c r="H163"/>
      <c r="K163"/>
    </row>
    <row r="164" spans="1:11" s="44" customFormat="1" ht="14.25">
      <c r="A164" s="57" t="s">
        <v>224</v>
      </c>
      <c r="B164" s="58"/>
      <c r="C164" s="59" t="s">
        <v>225</v>
      </c>
      <c r="D164" s="56"/>
      <c r="E164" s="56"/>
      <c r="F164" s="56"/>
      <c r="G164"/>
      <c r="H164"/>
      <c r="K164"/>
    </row>
    <row r="165" spans="1:11" s="44" customFormat="1" ht="14.25">
      <c r="A165" s="41"/>
      <c r="B165" s="54"/>
      <c r="C165" s="59" t="s">
        <v>152</v>
      </c>
      <c r="D165" s="60">
        <f>SUM(D171,D179,D190)</f>
        <v>389014</v>
      </c>
      <c r="E165" s="60">
        <f>SUM(E171,E179,E190)</f>
        <v>23540</v>
      </c>
      <c r="F165" s="60">
        <f>SUM(D165:E165)</f>
        <v>412554</v>
      </c>
      <c r="G165"/>
      <c r="H165"/>
      <c r="K165"/>
    </row>
    <row r="166" spans="1:11" s="44" customFormat="1" ht="14.25">
      <c r="A166" s="41"/>
      <c r="B166" s="54"/>
      <c r="C166" s="59" t="s">
        <v>153</v>
      </c>
      <c r="D166" s="60">
        <f>SUM(D167:D168)</f>
        <v>389014</v>
      </c>
      <c r="E166" s="60">
        <f>SUM(E167:E168)</f>
        <v>23540</v>
      </c>
      <c r="F166" s="60">
        <f>SUM(D166:E166)</f>
        <v>412554</v>
      </c>
      <c r="G166"/>
      <c r="H166"/>
      <c r="K166"/>
    </row>
    <row r="167" spans="1:11" s="44" customFormat="1" ht="15">
      <c r="A167" s="41"/>
      <c r="B167" s="54"/>
      <c r="C167" s="26" t="s">
        <v>147</v>
      </c>
      <c r="D167" s="56">
        <f>SUM(D175,D185,D194)</f>
        <v>325102</v>
      </c>
      <c r="E167" s="56">
        <f>SUM(E175,E185,E194)</f>
        <v>23540</v>
      </c>
      <c r="F167" s="60">
        <f>SUM(D167:E167)</f>
        <v>348642</v>
      </c>
      <c r="G167"/>
      <c r="H167"/>
      <c r="K167"/>
    </row>
    <row r="168" spans="1:11" s="44" customFormat="1" ht="15">
      <c r="A168" s="41"/>
      <c r="B168" s="54"/>
      <c r="C168" s="26" t="s">
        <v>148</v>
      </c>
      <c r="D168" s="56">
        <f>SUM(D186)</f>
        <v>63912</v>
      </c>
      <c r="E168" s="56"/>
      <c r="F168" s="60">
        <f>SUM(D168:E168)</f>
        <v>63912</v>
      </c>
      <c r="G168"/>
      <c r="H168"/>
      <c r="K168"/>
    </row>
    <row r="169" spans="1:11" s="44" customFormat="1" ht="14.25">
      <c r="A169" s="57" t="s">
        <v>226</v>
      </c>
      <c r="B169" s="54"/>
      <c r="C169" s="59" t="s">
        <v>8</v>
      </c>
      <c r="D169" s="60">
        <f>SUM(D174)</f>
        <v>194064</v>
      </c>
      <c r="E169" s="60">
        <f>SUM(E174)</f>
        <v>0</v>
      </c>
      <c r="F169" s="60">
        <f>SUM(D169:E169)</f>
        <v>194064</v>
      </c>
      <c r="G169"/>
      <c r="H169"/>
      <c r="K169"/>
    </row>
    <row r="170" spans="1:11" s="44" customFormat="1" ht="15">
      <c r="A170" s="65" t="s">
        <v>227</v>
      </c>
      <c r="B170" s="63" t="s">
        <v>166</v>
      </c>
      <c r="C170" s="24" t="s">
        <v>199</v>
      </c>
      <c r="D170" s="64"/>
      <c r="E170" s="64"/>
      <c r="F170" s="64"/>
      <c r="G170"/>
      <c r="H170"/>
      <c r="K170"/>
    </row>
    <row r="171" spans="1:11" s="44" customFormat="1" ht="14.25">
      <c r="A171" s="41"/>
      <c r="B171" s="54"/>
      <c r="C171" s="59" t="s">
        <v>158</v>
      </c>
      <c r="D171" s="60">
        <f>SUM(D172)</f>
        <v>194064</v>
      </c>
      <c r="E171" s="60">
        <f>SUM(E172)</f>
        <v>0</v>
      </c>
      <c r="F171" s="60">
        <f>SUM(D171:E171)</f>
        <v>194064</v>
      </c>
      <c r="G171"/>
      <c r="H171"/>
      <c r="K171"/>
    </row>
    <row r="172" spans="1:11" s="44" customFormat="1" ht="15">
      <c r="A172" s="41"/>
      <c r="B172" s="54"/>
      <c r="C172" s="26" t="s">
        <v>159</v>
      </c>
      <c r="D172" s="56">
        <f>SUM(D174)</f>
        <v>194064</v>
      </c>
      <c r="E172" s="56"/>
      <c r="F172" s="56">
        <f>SUM(D172:E172)</f>
        <v>194064</v>
      </c>
      <c r="G172"/>
      <c r="H172"/>
      <c r="K172"/>
    </row>
    <row r="173" spans="1:11" s="44" customFormat="1" ht="15">
      <c r="A173" s="41"/>
      <c r="B173" s="54"/>
      <c r="C173" s="26"/>
      <c r="D173" s="56"/>
      <c r="E173" s="56"/>
      <c r="F173" s="56"/>
      <c r="G173"/>
      <c r="H173"/>
      <c r="K173"/>
    </row>
    <row r="174" spans="1:11" s="44" customFormat="1" ht="14.25">
      <c r="A174" s="41"/>
      <c r="B174" s="54"/>
      <c r="C174" s="59" t="s">
        <v>160</v>
      </c>
      <c r="D174" s="60">
        <f>SUM(D175:D175)</f>
        <v>194064</v>
      </c>
      <c r="E174" s="60">
        <f>SUM(E175:E175)</f>
        <v>0</v>
      </c>
      <c r="F174" s="60">
        <f>SUM(D174:E174)</f>
        <v>194064</v>
      </c>
      <c r="G174"/>
      <c r="H174"/>
      <c r="K174"/>
    </row>
    <row r="175" spans="1:11" s="44" customFormat="1" ht="15">
      <c r="A175" s="41"/>
      <c r="B175" s="54"/>
      <c r="C175" s="26" t="s">
        <v>161</v>
      </c>
      <c r="D175" s="56">
        <f>191337+2727</f>
        <v>194064</v>
      </c>
      <c r="E175" s="56"/>
      <c r="F175" s="56">
        <f>SUM(D175:E175)</f>
        <v>194064</v>
      </c>
      <c r="G175"/>
      <c r="H175"/>
      <c r="K175"/>
    </row>
    <row r="176" spans="1:11" s="44" customFormat="1" ht="15">
      <c r="A176" s="41"/>
      <c r="B176" s="54"/>
      <c r="C176" s="26"/>
      <c r="D176" s="56"/>
      <c r="E176" s="56"/>
      <c r="F176" s="56"/>
      <c r="G176"/>
      <c r="H176"/>
      <c r="K176"/>
    </row>
    <row r="177" spans="1:11" s="44" customFormat="1" ht="14.25">
      <c r="A177" s="57" t="s">
        <v>228</v>
      </c>
      <c r="B177" s="58"/>
      <c r="C177" s="59" t="s">
        <v>11</v>
      </c>
      <c r="D177" s="60">
        <f>SUM(D184)</f>
        <v>184950</v>
      </c>
      <c r="E177" s="60">
        <f>SUM(E184)</f>
        <v>23540</v>
      </c>
      <c r="F177" s="60">
        <f>SUM(D177:E177)</f>
        <v>208490</v>
      </c>
      <c r="G177"/>
      <c r="H177"/>
      <c r="K177"/>
    </row>
    <row r="178" spans="1:11" s="44" customFormat="1" ht="15">
      <c r="A178" s="65" t="s">
        <v>229</v>
      </c>
      <c r="B178" s="63" t="s">
        <v>202</v>
      </c>
      <c r="C178" s="24" t="s">
        <v>230</v>
      </c>
      <c r="D178" s="64"/>
      <c r="E178" s="64"/>
      <c r="F178" s="64"/>
      <c r="G178"/>
      <c r="H178"/>
      <c r="K178"/>
    </row>
    <row r="179" spans="1:11" s="44" customFormat="1" ht="14.25">
      <c r="A179" s="41"/>
      <c r="B179" s="54"/>
      <c r="C179" s="59" t="s">
        <v>158</v>
      </c>
      <c r="D179" s="60">
        <f>SUM(D180:D182)</f>
        <v>184950</v>
      </c>
      <c r="E179" s="60">
        <f>SUM(E180:E182)</f>
        <v>23540</v>
      </c>
      <c r="F179" s="60">
        <f>SUM(D179:E179)</f>
        <v>208490</v>
      </c>
      <c r="G179"/>
      <c r="H179"/>
      <c r="K179"/>
    </row>
    <row r="180" spans="1:11" s="44" customFormat="1" ht="15">
      <c r="A180" s="41"/>
      <c r="B180" s="54"/>
      <c r="C180" s="26" t="s">
        <v>159</v>
      </c>
      <c r="D180" s="56">
        <f>SUM(D184)</f>
        <v>184950</v>
      </c>
      <c r="E180" s="56"/>
      <c r="F180" s="56">
        <f>SUM(D180:E180)</f>
        <v>184950</v>
      </c>
      <c r="G180"/>
      <c r="H180"/>
      <c r="K180"/>
    </row>
    <row r="181" spans="1:11" s="44" customFormat="1" ht="15">
      <c r="A181" s="41"/>
      <c r="B181" s="54"/>
      <c r="C181" s="26" t="s">
        <v>223</v>
      </c>
      <c r="D181" s="56"/>
      <c r="E181" s="56">
        <v>10840</v>
      </c>
      <c r="F181" s="56">
        <f>SUM(D181:E181)</f>
        <v>10840</v>
      </c>
      <c r="G181"/>
      <c r="H181"/>
      <c r="K181"/>
    </row>
    <row r="182" spans="1:11" s="44" customFormat="1" ht="15">
      <c r="A182" s="41"/>
      <c r="B182" s="54"/>
      <c r="C182" s="26" t="s">
        <v>231</v>
      </c>
      <c r="D182" s="56"/>
      <c r="E182" s="56">
        <v>12700</v>
      </c>
      <c r="F182" s="56">
        <f>SUM(D182:E182)</f>
        <v>12700</v>
      </c>
      <c r="G182"/>
      <c r="H182"/>
      <c r="K182"/>
    </row>
    <row r="183" spans="1:11" s="44" customFormat="1" ht="15">
      <c r="A183" s="41"/>
      <c r="B183" s="54"/>
      <c r="C183" s="26"/>
      <c r="D183" s="56"/>
      <c r="E183" s="56"/>
      <c r="F183" s="56"/>
      <c r="G183"/>
      <c r="H183"/>
      <c r="K183"/>
    </row>
    <row r="184" spans="1:11" s="44" customFormat="1" ht="14.25">
      <c r="A184" s="41"/>
      <c r="B184" s="54"/>
      <c r="C184" s="59" t="s">
        <v>160</v>
      </c>
      <c r="D184" s="60">
        <f>SUM(D185:D186)</f>
        <v>184950</v>
      </c>
      <c r="E184" s="60">
        <f>SUM(E185:E186)</f>
        <v>23540</v>
      </c>
      <c r="F184" s="60">
        <f>SUM(D184:E184)</f>
        <v>208490</v>
      </c>
      <c r="G184"/>
      <c r="H184"/>
      <c r="K184"/>
    </row>
    <row r="185" spans="1:11" s="44" customFormat="1" ht="15">
      <c r="A185" s="41"/>
      <c r="B185" s="54"/>
      <c r="C185" s="26" t="s">
        <v>161</v>
      </c>
      <c r="D185" s="56">
        <f>65435+23647+31956</f>
        <v>121038</v>
      </c>
      <c r="E185" s="56">
        <v>23540</v>
      </c>
      <c r="F185" s="56">
        <f>SUM(D185:E185)</f>
        <v>144578</v>
      </c>
      <c r="G185"/>
      <c r="H185"/>
      <c r="K185"/>
    </row>
    <row r="186" spans="1:11" s="44" customFormat="1" ht="15">
      <c r="A186" s="41"/>
      <c r="B186" s="54"/>
      <c r="C186" s="26" t="s">
        <v>168</v>
      </c>
      <c r="D186" s="56">
        <v>63912</v>
      </c>
      <c r="E186" s="56"/>
      <c r="F186" s="56">
        <f>SUM(D186:E186)</f>
        <v>63912</v>
      </c>
      <c r="G186"/>
      <c r="H186"/>
      <c r="K186"/>
    </row>
    <row r="187" spans="1:11" s="44" customFormat="1" ht="15">
      <c r="A187" s="41"/>
      <c r="B187" s="54"/>
      <c r="C187" s="26"/>
      <c r="D187" s="56"/>
      <c r="E187" s="56"/>
      <c r="F187" s="56"/>
      <c r="G187"/>
      <c r="H187"/>
      <c r="K187"/>
    </row>
    <row r="188" spans="1:11" s="44" customFormat="1" ht="14.25">
      <c r="A188" s="57" t="s">
        <v>232</v>
      </c>
      <c r="B188" s="58"/>
      <c r="C188" s="59" t="s">
        <v>15</v>
      </c>
      <c r="D188" s="60">
        <f>SUM(D193)</f>
        <v>10000</v>
      </c>
      <c r="E188" s="60">
        <f>SUM(E193)</f>
        <v>0</v>
      </c>
      <c r="F188" s="60">
        <f>SUM(D188:E188)</f>
        <v>10000</v>
      </c>
      <c r="G188"/>
      <c r="H188"/>
      <c r="K188"/>
    </row>
    <row r="189" spans="1:11" s="44" customFormat="1" ht="15">
      <c r="A189" s="65" t="s">
        <v>233</v>
      </c>
      <c r="B189" s="63" t="s">
        <v>234</v>
      </c>
      <c r="C189" s="24" t="s">
        <v>235</v>
      </c>
      <c r="D189" s="64"/>
      <c r="E189" s="64"/>
      <c r="F189" s="64"/>
      <c r="G189"/>
      <c r="H189"/>
      <c r="K189"/>
    </row>
    <row r="190" spans="1:11" s="44" customFormat="1" ht="14.25">
      <c r="A190" s="41"/>
      <c r="B190" s="54"/>
      <c r="C190" s="59" t="s">
        <v>158</v>
      </c>
      <c r="D190" s="60">
        <f>SUM(D191:D191)</f>
        <v>10000</v>
      </c>
      <c r="E190" s="60">
        <f>SUM(E191:E191)</f>
        <v>0</v>
      </c>
      <c r="F190" s="60">
        <f>SUM(D190:E190)</f>
        <v>10000</v>
      </c>
      <c r="G190"/>
      <c r="H190"/>
      <c r="K190"/>
    </row>
    <row r="191" spans="1:11" s="44" customFormat="1" ht="15">
      <c r="A191" s="41"/>
      <c r="B191" s="54"/>
      <c r="C191" s="26" t="s">
        <v>159</v>
      </c>
      <c r="D191" s="56">
        <f>SUM(D193)</f>
        <v>10000</v>
      </c>
      <c r="E191" s="56"/>
      <c r="F191" s="56">
        <f>SUM(D191:E191)</f>
        <v>10000</v>
      </c>
      <c r="G191"/>
      <c r="H191"/>
      <c r="K191"/>
    </row>
    <row r="192" spans="1:11" s="44" customFormat="1" ht="15">
      <c r="A192" s="41"/>
      <c r="B192" s="54"/>
      <c r="C192" s="26"/>
      <c r="D192" s="56"/>
      <c r="E192" s="56"/>
      <c r="F192" s="56"/>
      <c r="G192"/>
      <c r="H192"/>
      <c r="K192"/>
    </row>
    <row r="193" spans="1:11" s="44" customFormat="1" ht="14.25">
      <c r="A193" s="41"/>
      <c r="B193" s="54"/>
      <c r="C193" s="59" t="s">
        <v>160</v>
      </c>
      <c r="D193" s="60">
        <f>SUM(D194:D194)</f>
        <v>10000</v>
      </c>
      <c r="E193" s="60">
        <f>SUM(E194:E194)</f>
        <v>0</v>
      </c>
      <c r="F193" s="60">
        <f>SUM(D193:E193)</f>
        <v>10000</v>
      </c>
      <c r="G193"/>
      <c r="H193"/>
      <c r="K193"/>
    </row>
    <row r="194" spans="1:11" s="44" customFormat="1" ht="15">
      <c r="A194" s="41"/>
      <c r="B194" s="54"/>
      <c r="C194" s="26" t="s">
        <v>161</v>
      </c>
      <c r="D194" s="56">
        <v>10000</v>
      </c>
      <c r="E194" s="56"/>
      <c r="F194" s="56">
        <f>SUM(D194:E194)</f>
        <v>10000</v>
      </c>
      <c r="G194"/>
      <c r="H194"/>
      <c r="K194"/>
    </row>
    <row r="195" spans="1:11" s="44" customFormat="1" ht="15">
      <c r="A195" s="41"/>
      <c r="B195" s="54"/>
      <c r="C195" s="26"/>
      <c r="D195" s="56"/>
      <c r="E195" s="56"/>
      <c r="F195" s="56"/>
      <c r="G195"/>
      <c r="H195"/>
      <c r="K195"/>
    </row>
    <row r="196" spans="1:11" s="44" customFormat="1" ht="14.25">
      <c r="A196" s="57" t="s">
        <v>236</v>
      </c>
      <c r="B196" s="58"/>
      <c r="C196" s="59" t="s">
        <v>237</v>
      </c>
      <c r="D196" s="56"/>
      <c r="E196" s="56"/>
      <c r="F196" s="56"/>
      <c r="G196"/>
      <c r="H196"/>
      <c r="K196"/>
    </row>
    <row r="197" spans="1:11" s="44" customFormat="1" ht="14.25">
      <c r="A197" s="41"/>
      <c r="B197" s="54"/>
      <c r="C197" s="59" t="s">
        <v>152</v>
      </c>
      <c r="D197" s="60">
        <f>SUM(D204,D212,D221,D231,D241,D252,D261,D273,D283)</f>
        <v>42907772</v>
      </c>
      <c r="E197" s="60">
        <f>SUM(E204,E212,E221,E231,E241,E252,E261,E273,E283)</f>
        <v>5343629</v>
      </c>
      <c r="F197" s="60">
        <f aca="true" t="shared" si="0" ref="F197:F202">SUM(D197:E197)</f>
        <v>48251401</v>
      </c>
      <c r="G197"/>
      <c r="H197"/>
      <c r="K197"/>
    </row>
    <row r="198" spans="1:11" s="44" customFormat="1" ht="14.25">
      <c r="A198" s="41"/>
      <c r="B198" s="54"/>
      <c r="C198" s="59" t="s">
        <v>153</v>
      </c>
      <c r="D198" s="60">
        <f>SUM(D199:D201)</f>
        <v>42907772</v>
      </c>
      <c r="E198" s="60">
        <f>SUM(E199:E201)</f>
        <v>5343629</v>
      </c>
      <c r="F198" s="60">
        <f t="shared" si="0"/>
        <v>48251401</v>
      </c>
      <c r="G198"/>
      <c r="H198"/>
      <c r="K198"/>
    </row>
    <row r="199" spans="1:11" s="44" customFormat="1" ht="15">
      <c r="A199" s="41"/>
      <c r="B199" s="54"/>
      <c r="C199" s="26" t="s">
        <v>147</v>
      </c>
      <c r="D199" s="56">
        <f>SUMIF($C$196:$C$290,$C$209,D196:D290)</f>
        <v>42098581</v>
      </c>
      <c r="E199" s="56">
        <f>SUMIF($C$196:$C$290,$C$209,E196:E290)</f>
        <v>3428811</v>
      </c>
      <c r="F199" s="56">
        <f t="shared" si="0"/>
        <v>45527392</v>
      </c>
      <c r="G199"/>
      <c r="H199"/>
      <c r="K199"/>
    </row>
    <row r="200" spans="1:11" s="44" customFormat="1" ht="15">
      <c r="A200" s="41"/>
      <c r="B200" s="54"/>
      <c r="C200" s="26" t="s">
        <v>148</v>
      </c>
      <c r="D200" s="56">
        <f>SUMIF($C$196:$C$290,$C$228,D$196:D$290)</f>
        <v>575008</v>
      </c>
      <c r="E200" s="56">
        <f>SUMIF($C$196:$C$290,$C$228,E$196:E$290)</f>
        <v>1914818</v>
      </c>
      <c r="F200" s="56">
        <f t="shared" si="0"/>
        <v>2489826</v>
      </c>
      <c r="G200"/>
      <c r="H200"/>
      <c r="K200"/>
    </row>
    <row r="201" spans="1:11" s="44" customFormat="1" ht="15">
      <c r="A201" s="41"/>
      <c r="B201" s="54"/>
      <c r="C201" s="26" t="s">
        <v>149</v>
      </c>
      <c r="D201" s="56">
        <f>SUMIF($C$196:$C$290,$C$217,D196:D290)</f>
        <v>234183</v>
      </c>
      <c r="E201" s="56">
        <f>SUMIF($C$196:$C$290,$C$217,E196:E290)</f>
        <v>0</v>
      </c>
      <c r="F201" s="56">
        <f t="shared" si="0"/>
        <v>234183</v>
      </c>
      <c r="G201"/>
      <c r="H201"/>
      <c r="K201"/>
    </row>
    <row r="202" spans="1:11" s="44" customFormat="1" ht="14.25">
      <c r="A202" s="57" t="s">
        <v>238</v>
      </c>
      <c r="B202" s="54"/>
      <c r="C202" s="59" t="s">
        <v>8</v>
      </c>
      <c r="D202" s="60">
        <f>SUM(D208,D215)</f>
        <v>1087834</v>
      </c>
      <c r="E202" s="60">
        <f>SUM(E208)</f>
        <v>29975</v>
      </c>
      <c r="F202" s="60">
        <f t="shared" si="0"/>
        <v>1117809</v>
      </c>
      <c r="G202"/>
      <c r="H202"/>
      <c r="K202"/>
    </row>
    <row r="203" spans="1:11" s="44" customFormat="1" ht="15">
      <c r="A203" s="65" t="s">
        <v>239</v>
      </c>
      <c r="B203" s="63" t="s">
        <v>166</v>
      </c>
      <c r="C203" s="24" t="s">
        <v>199</v>
      </c>
      <c r="D203" s="64"/>
      <c r="E203" s="64"/>
      <c r="F203" s="64"/>
      <c r="G203" s="66"/>
      <c r="H203"/>
      <c r="K203"/>
    </row>
    <row r="204" spans="1:11" s="44" customFormat="1" ht="14.25">
      <c r="A204" s="41"/>
      <c r="B204" s="54"/>
      <c r="C204" s="59" t="s">
        <v>158</v>
      </c>
      <c r="D204" s="60">
        <f>SUM(D205:D206)</f>
        <v>506938</v>
      </c>
      <c r="E204" s="60">
        <f>SUM(E205:E206)</f>
        <v>29975</v>
      </c>
      <c r="F204" s="60">
        <f>SUM(D204:E204)</f>
        <v>536913</v>
      </c>
      <c r="G204" s="3"/>
      <c r="H204"/>
      <c r="K204"/>
    </row>
    <row r="205" spans="1:11" s="44" customFormat="1" ht="15">
      <c r="A205" s="41"/>
      <c r="B205" s="54"/>
      <c r="C205" s="26" t="s">
        <v>159</v>
      </c>
      <c r="D205" s="56">
        <f>SUM(D208)</f>
        <v>506938</v>
      </c>
      <c r="E205" s="56"/>
      <c r="F205" s="56">
        <f>SUM(D205:E205)</f>
        <v>506938</v>
      </c>
      <c r="G205"/>
      <c r="H205"/>
      <c r="K205"/>
    </row>
    <row r="206" spans="1:11" s="44" customFormat="1" ht="15">
      <c r="A206" s="41"/>
      <c r="B206" s="54"/>
      <c r="C206" s="26" t="s">
        <v>223</v>
      </c>
      <c r="D206" s="56"/>
      <c r="E206" s="56">
        <v>29975</v>
      </c>
      <c r="F206" s="56">
        <f>SUM(D206:E206)</f>
        <v>29975</v>
      </c>
      <c r="G206"/>
      <c r="H206"/>
      <c r="K206"/>
    </row>
    <row r="207" spans="1:11" s="44" customFormat="1" ht="15">
      <c r="A207" s="41"/>
      <c r="B207" s="54"/>
      <c r="C207" s="26"/>
      <c r="D207" s="56"/>
      <c r="E207" s="56"/>
      <c r="F207" s="56"/>
      <c r="G207"/>
      <c r="H207"/>
      <c r="K207"/>
    </row>
    <row r="208" spans="1:11" s="44" customFormat="1" ht="14.25">
      <c r="A208" s="41"/>
      <c r="B208" s="54"/>
      <c r="C208" s="59" t="s">
        <v>160</v>
      </c>
      <c r="D208" s="60">
        <f>SUM(D209:D209)</f>
        <v>506938</v>
      </c>
      <c r="E208" s="60">
        <f>SUM(E209:E209)</f>
        <v>29975</v>
      </c>
      <c r="F208" s="60">
        <f>SUM(D208:E208)</f>
        <v>536913</v>
      </c>
      <c r="G208" s="3"/>
      <c r="H208"/>
      <c r="K208"/>
    </row>
    <row r="209" spans="1:11" s="44" customFormat="1" ht="15">
      <c r="A209" s="41"/>
      <c r="B209" s="54"/>
      <c r="C209" s="26" t="s">
        <v>161</v>
      </c>
      <c r="D209" s="56">
        <f>497390+9548</f>
        <v>506938</v>
      </c>
      <c r="E209" s="56">
        <v>29975</v>
      </c>
      <c r="F209" s="56">
        <f>SUM(D209:E209)</f>
        <v>536913</v>
      </c>
      <c r="G209"/>
      <c r="H209"/>
      <c r="K209"/>
    </row>
    <row r="210" spans="1:11" s="44" customFormat="1" ht="15">
      <c r="A210" s="41"/>
      <c r="B210" s="54"/>
      <c r="C210" s="26"/>
      <c r="D210" s="56"/>
      <c r="E210" s="56"/>
      <c r="F210" s="56"/>
      <c r="G210"/>
      <c r="H210"/>
      <c r="K210"/>
    </row>
    <row r="211" spans="1:11" s="44" customFormat="1" ht="15">
      <c r="A211" s="65" t="s">
        <v>240</v>
      </c>
      <c r="B211" s="63" t="s">
        <v>241</v>
      </c>
      <c r="C211" s="24" t="s">
        <v>242</v>
      </c>
      <c r="D211" s="56"/>
      <c r="E211" s="56"/>
      <c r="F211" s="56"/>
      <c r="G211"/>
      <c r="H211"/>
      <c r="K211"/>
    </row>
    <row r="212" spans="1:11" s="44" customFormat="1" ht="14.25">
      <c r="A212" s="41"/>
      <c r="B212" s="54"/>
      <c r="C212" s="59" t="s">
        <v>158</v>
      </c>
      <c r="D212" s="60">
        <f>SUM(D213)</f>
        <v>580896</v>
      </c>
      <c r="E212" s="60"/>
      <c r="F212" s="60">
        <f aca="true" t="shared" si="1" ref="F212:F217">SUM(D212:E212)</f>
        <v>580896</v>
      </c>
      <c r="G212"/>
      <c r="H212"/>
      <c r="K212"/>
    </row>
    <row r="213" spans="1:11" s="44" customFormat="1" ht="15">
      <c r="A213" s="41"/>
      <c r="B213" s="54"/>
      <c r="C213" s="26" t="s">
        <v>159</v>
      </c>
      <c r="D213" s="56">
        <f>SUM(D215)</f>
        <v>580896</v>
      </c>
      <c r="E213" s="56">
        <f>SUM(E215)</f>
        <v>0</v>
      </c>
      <c r="F213" s="56">
        <f t="shared" si="1"/>
        <v>580896</v>
      </c>
      <c r="G213"/>
      <c r="H213"/>
      <c r="K213"/>
    </row>
    <row r="214" spans="1:11" s="44" customFormat="1" ht="15">
      <c r="A214" s="41"/>
      <c r="B214" s="54"/>
      <c r="C214" s="26"/>
      <c r="D214" s="56"/>
      <c r="E214" s="56"/>
      <c r="F214" s="56">
        <f t="shared" si="1"/>
        <v>0</v>
      </c>
      <c r="G214"/>
      <c r="H214"/>
      <c r="K214"/>
    </row>
    <row r="215" spans="1:11" s="44" customFormat="1" ht="14.25">
      <c r="A215" s="41"/>
      <c r="B215" s="54"/>
      <c r="C215" s="59" t="s">
        <v>160</v>
      </c>
      <c r="D215" s="60">
        <f>SUM(D216:D217)</f>
        <v>580896</v>
      </c>
      <c r="E215" s="60">
        <f>SUM(E216:E217)</f>
        <v>0</v>
      </c>
      <c r="F215" s="60">
        <f t="shared" si="1"/>
        <v>580896</v>
      </c>
      <c r="G215"/>
      <c r="H215"/>
      <c r="K215"/>
    </row>
    <row r="216" spans="1:11" s="44" customFormat="1" ht="15">
      <c r="A216" s="41"/>
      <c r="B216" s="54"/>
      <c r="C216" s="26" t="s">
        <v>168</v>
      </c>
      <c r="D216" s="56">
        <f>299876+46837</f>
        <v>346713</v>
      </c>
      <c r="E216" s="56"/>
      <c r="F216" s="56">
        <f t="shared" si="1"/>
        <v>346713</v>
      </c>
      <c r="G216"/>
      <c r="H216"/>
      <c r="K216"/>
    </row>
    <row r="217" spans="1:11" s="44" customFormat="1" ht="15">
      <c r="A217" s="41"/>
      <c r="B217" s="54"/>
      <c r="C217" s="26" t="s">
        <v>243</v>
      </c>
      <c r="D217" s="56">
        <f>281020-46837</f>
        <v>234183</v>
      </c>
      <c r="E217" s="56"/>
      <c r="F217" s="56">
        <f t="shared" si="1"/>
        <v>234183</v>
      </c>
      <c r="G217"/>
      <c r="H217"/>
      <c r="K217"/>
    </row>
    <row r="218" spans="1:11" s="44" customFormat="1" ht="15">
      <c r="A218" s="41"/>
      <c r="B218" s="54"/>
      <c r="C218" s="26"/>
      <c r="D218" s="56"/>
      <c r="E218" s="56"/>
      <c r="F218" s="56"/>
      <c r="G218"/>
      <c r="H218"/>
      <c r="K218"/>
    </row>
    <row r="219" spans="1:11" s="44" customFormat="1" ht="14.25">
      <c r="A219" s="57" t="s">
        <v>244</v>
      </c>
      <c r="B219" s="58"/>
      <c r="C219" s="59" t="s">
        <v>16</v>
      </c>
      <c r="D219" s="60">
        <f>SUM(D226,D237,D248,D257,D268,D279,D288)</f>
        <v>41819938</v>
      </c>
      <c r="E219" s="60">
        <f>SUM(E226,E237,E248,E257,E268,E279,E288)</f>
        <v>5313654</v>
      </c>
      <c r="F219" s="60">
        <f>SUM(D219:E219)</f>
        <v>47133592</v>
      </c>
      <c r="G219"/>
      <c r="H219"/>
      <c r="K219"/>
    </row>
    <row r="220" spans="1:11" s="44" customFormat="1" ht="15">
      <c r="A220" s="65" t="s">
        <v>245</v>
      </c>
      <c r="B220" s="63" t="s">
        <v>182</v>
      </c>
      <c r="C220" s="24" t="s">
        <v>183</v>
      </c>
      <c r="D220" s="64"/>
      <c r="E220" s="64"/>
      <c r="F220" s="64"/>
      <c r="G220"/>
      <c r="H220"/>
      <c r="K220"/>
    </row>
    <row r="221" spans="1:11" s="44" customFormat="1" ht="14.25">
      <c r="A221" s="41"/>
      <c r="B221" s="54"/>
      <c r="C221" s="59" t="s">
        <v>158</v>
      </c>
      <c r="D221" s="60">
        <f>SUM(D222,D224:D224)</f>
        <v>13093530</v>
      </c>
      <c r="E221" s="60">
        <f>SUM(E222,E224:E224)</f>
        <v>1216400</v>
      </c>
      <c r="F221" s="60">
        <f>SUM(D221:E221)</f>
        <v>14309930</v>
      </c>
      <c r="G221"/>
      <c r="H221"/>
      <c r="K221"/>
    </row>
    <row r="222" spans="1:11" s="44" customFormat="1" ht="15">
      <c r="A222" s="41"/>
      <c r="B222" s="54"/>
      <c r="C222" s="26" t="s">
        <v>159</v>
      </c>
      <c r="D222" s="56">
        <f>SUM(D226)</f>
        <v>13093530</v>
      </c>
      <c r="E222" s="56"/>
      <c r="F222" s="56">
        <f>SUM(D222:E222)</f>
        <v>13093530</v>
      </c>
      <c r="G222"/>
      <c r="H222"/>
      <c r="K222"/>
    </row>
    <row r="223" spans="1:11" s="44" customFormat="1" ht="15">
      <c r="A223" s="41"/>
      <c r="B223" s="54"/>
      <c r="C223" s="26" t="s">
        <v>246</v>
      </c>
      <c r="D223" s="56">
        <v>96124</v>
      </c>
      <c r="E223" s="56"/>
      <c r="F223" s="56">
        <f>SUM(D223:E223)</f>
        <v>96124</v>
      </c>
      <c r="G223"/>
      <c r="H223"/>
      <c r="K223"/>
    </row>
    <row r="224" spans="1:11" s="44" customFormat="1" ht="15">
      <c r="A224" s="41"/>
      <c r="B224" s="54"/>
      <c r="C224" s="26" t="s">
        <v>247</v>
      </c>
      <c r="D224" s="56"/>
      <c r="E224" s="56">
        <v>1216400</v>
      </c>
      <c r="F224" s="56">
        <f>SUM(D224:E224)</f>
        <v>1216400</v>
      </c>
      <c r="G224"/>
      <c r="H224"/>
      <c r="K224"/>
    </row>
    <row r="225" spans="1:11" s="44" customFormat="1" ht="15">
      <c r="A225" s="41"/>
      <c r="B225" s="54"/>
      <c r="C225" s="26"/>
      <c r="D225" s="56"/>
      <c r="E225" s="56"/>
      <c r="F225" s="56"/>
      <c r="G225"/>
      <c r="H225"/>
      <c r="K225"/>
    </row>
    <row r="226" spans="1:11" s="44" customFormat="1" ht="14.25">
      <c r="A226" s="41"/>
      <c r="B226" s="54"/>
      <c r="C226" s="59" t="s">
        <v>160</v>
      </c>
      <c r="D226" s="60">
        <f>SUM(D227:D228)</f>
        <v>13093530</v>
      </c>
      <c r="E226" s="60">
        <f>SUM(E227:E228)</f>
        <v>1216400</v>
      </c>
      <c r="F226" s="60">
        <f>SUM(D226:E226)</f>
        <v>14309930</v>
      </c>
      <c r="G226"/>
      <c r="H226"/>
      <c r="K226"/>
    </row>
    <row r="227" spans="1:11" s="44" customFormat="1" ht="15">
      <c r="A227" s="41"/>
      <c r="B227" s="54"/>
      <c r="C227" s="26" t="s">
        <v>161</v>
      </c>
      <c r="D227" s="56">
        <v>13036010</v>
      </c>
      <c r="E227" s="56">
        <v>1216400</v>
      </c>
      <c r="F227" s="56">
        <f>SUM(D227:E227)</f>
        <v>14252410</v>
      </c>
      <c r="G227"/>
      <c r="H227"/>
      <c r="K227"/>
    </row>
    <row r="228" spans="1:11" s="44" customFormat="1" ht="15">
      <c r="A228" s="41"/>
      <c r="B228" s="54"/>
      <c r="C228" s="26" t="s">
        <v>168</v>
      </c>
      <c r="D228" s="56">
        <v>57520</v>
      </c>
      <c r="E228" s="56"/>
      <c r="F228" s="56">
        <f>SUM(D228:E228)</f>
        <v>57520</v>
      </c>
      <c r="G228"/>
      <c r="H228"/>
      <c r="K228"/>
    </row>
    <row r="229" spans="1:11" s="44" customFormat="1" ht="15">
      <c r="A229" s="41"/>
      <c r="B229" s="54"/>
      <c r="C229" s="26"/>
      <c r="D229" s="56"/>
      <c r="E229" s="56"/>
      <c r="F229" s="56"/>
      <c r="G229"/>
      <c r="H229"/>
      <c r="K229"/>
    </row>
    <row r="230" spans="1:11" s="44" customFormat="1" ht="15">
      <c r="A230" s="65" t="s">
        <v>248</v>
      </c>
      <c r="B230" s="63" t="s">
        <v>249</v>
      </c>
      <c r="C230" s="24" t="s">
        <v>250</v>
      </c>
      <c r="D230" s="64"/>
      <c r="E230" s="64"/>
      <c r="F230" s="64"/>
      <c r="G230"/>
      <c r="H230"/>
      <c r="K230"/>
    </row>
    <row r="231" spans="1:11" s="44" customFormat="1" ht="14.25">
      <c r="A231" s="41"/>
      <c r="B231" s="54"/>
      <c r="C231" s="59" t="s">
        <v>158</v>
      </c>
      <c r="D231" s="60">
        <f>SUM(D232)</f>
        <v>4138974</v>
      </c>
      <c r="E231" s="60">
        <f>SUM(E232:E235)</f>
        <v>45486</v>
      </c>
      <c r="F231" s="60">
        <f>SUM(D231:E231)</f>
        <v>4184460</v>
      </c>
      <c r="G231"/>
      <c r="H231"/>
      <c r="K231"/>
    </row>
    <row r="232" spans="1:11" s="44" customFormat="1" ht="15">
      <c r="A232" s="41"/>
      <c r="B232" s="54"/>
      <c r="C232" s="26" t="s">
        <v>159</v>
      </c>
      <c r="D232" s="56">
        <f>SUM(D237)</f>
        <v>4138974</v>
      </c>
      <c r="E232" s="56"/>
      <c r="F232" s="56">
        <f>SUM(D232:E232)</f>
        <v>4138974</v>
      </c>
      <c r="G232"/>
      <c r="H232"/>
      <c r="K232"/>
    </row>
    <row r="233" spans="1:11" s="44" customFormat="1" ht="15">
      <c r="A233" s="41"/>
      <c r="B233" s="54"/>
      <c r="C233" s="26" t="s">
        <v>246</v>
      </c>
      <c r="D233" s="56">
        <v>3300074</v>
      </c>
      <c r="E233" s="56"/>
      <c r="F233" s="56">
        <f>SUM(D233:E233)</f>
        <v>3300074</v>
      </c>
      <c r="G233"/>
      <c r="H233"/>
      <c r="K233"/>
    </row>
    <row r="234" spans="1:11" s="44" customFormat="1" ht="15">
      <c r="A234" s="41"/>
      <c r="B234" s="54"/>
      <c r="C234" s="26" t="s">
        <v>247</v>
      </c>
      <c r="D234" s="56"/>
      <c r="E234" s="56">
        <v>27934</v>
      </c>
      <c r="F234" s="56">
        <f>SUM(D234:E234)</f>
        <v>27934</v>
      </c>
      <c r="G234"/>
      <c r="H234"/>
      <c r="K234"/>
    </row>
    <row r="235" spans="1:11" s="44" customFormat="1" ht="15">
      <c r="A235" s="41"/>
      <c r="B235" s="54"/>
      <c r="C235" s="26" t="s">
        <v>251</v>
      </c>
      <c r="D235" s="56"/>
      <c r="E235" s="56">
        <v>17552</v>
      </c>
      <c r="F235" s="56">
        <f>SUM(D235:E235)</f>
        <v>17552</v>
      </c>
      <c r="G235"/>
      <c r="H235"/>
      <c r="K235"/>
    </row>
    <row r="236" spans="1:11" s="44" customFormat="1" ht="15">
      <c r="A236" s="41"/>
      <c r="B236" s="54"/>
      <c r="C236" s="26"/>
      <c r="D236" s="56"/>
      <c r="E236" s="56"/>
      <c r="F236" s="56"/>
      <c r="G236"/>
      <c r="H236"/>
      <c r="K236"/>
    </row>
    <row r="237" spans="1:11" s="44" customFormat="1" ht="14.25">
      <c r="A237" s="41"/>
      <c r="B237" s="54"/>
      <c r="C237" s="59" t="s">
        <v>160</v>
      </c>
      <c r="D237" s="60">
        <f>SUM(D238:D238)</f>
        <v>4138974</v>
      </c>
      <c r="E237" s="60">
        <f>SUM(E238:E238)</f>
        <v>45486</v>
      </c>
      <c r="F237" s="60">
        <f>SUM(D237:E237)</f>
        <v>4184460</v>
      </c>
      <c r="G237"/>
      <c r="H237"/>
      <c r="K237"/>
    </row>
    <row r="238" spans="1:11" s="44" customFormat="1" ht="15">
      <c r="A238" s="41"/>
      <c r="B238" s="54"/>
      <c r="C238" s="26" t="s">
        <v>161</v>
      </c>
      <c r="D238" s="56">
        <v>4138974</v>
      </c>
      <c r="E238" s="56">
        <v>45486</v>
      </c>
      <c r="F238" s="56">
        <f>SUM(D238:E238)</f>
        <v>4184460</v>
      </c>
      <c r="G238"/>
      <c r="H238"/>
      <c r="K238"/>
    </row>
    <row r="239" spans="1:11" s="44" customFormat="1" ht="15">
      <c r="A239" s="41"/>
      <c r="B239" s="54"/>
      <c r="C239" s="26"/>
      <c r="D239" s="56"/>
      <c r="E239" s="56"/>
      <c r="F239" s="56"/>
      <c r="G239"/>
      <c r="H239"/>
      <c r="K239"/>
    </row>
    <row r="240" spans="1:11" s="44" customFormat="1" ht="15">
      <c r="A240" s="65" t="s">
        <v>252</v>
      </c>
      <c r="B240" s="63" t="s">
        <v>185</v>
      </c>
      <c r="C240" s="24" t="s">
        <v>186</v>
      </c>
      <c r="D240" s="64"/>
      <c r="E240" s="64"/>
      <c r="F240" s="64"/>
      <c r="G240"/>
      <c r="H240"/>
      <c r="K240"/>
    </row>
    <row r="241" spans="1:11" s="44" customFormat="1" ht="14.25">
      <c r="A241" s="41"/>
      <c r="B241" s="54"/>
      <c r="C241" s="59" t="s">
        <v>158</v>
      </c>
      <c r="D241" s="60">
        <f>SUM(D242,D245:D246)</f>
        <v>17005882</v>
      </c>
      <c r="E241" s="60">
        <f>SUM(E242:E246)</f>
        <v>200887</v>
      </c>
      <c r="F241" s="60">
        <f aca="true" t="shared" si="2" ref="F241:F246">SUM(D241:E241)</f>
        <v>17206769</v>
      </c>
      <c r="G241"/>
      <c r="H241"/>
      <c r="K241"/>
    </row>
    <row r="242" spans="1:11" s="44" customFormat="1" ht="15">
      <c r="A242" s="41"/>
      <c r="B242" s="54"/>
      <c r="C242" s="26" t="s">
        <v>159</v>
      </c>
      <c r="D242" s="56">
        <f>SUM(D248)</f>
        <v>17005882</v>
      </c>
      <c r="E242" s="56"/>
      <c r="F242" s="56">
        <f t="shared" si="2"/>
        <v>17005882</v>
      </c>
      <c r="G242"/>
      <c r="H242"/>
      <c r="K242"/>
    </row>
    <row r="243" spans="1:11" s="44" customFormat="1" ht="15">
      <c r="A243" s="41"/>
      <c r="B243" s="54"/>
      <c r="C243" s="26" t="s">
        <v>246</v>
      </c>
      <c r="D243" s="56">
        <v>12590642</v>
      </c>
      <c r="E243" s="56"/>
      <c r="F243" s="56">
        <f t="shared" si="2"/>
        <v>12590642</v>
      </c>
      <c r="G243"/>
      <c r="H243"/>
      <c r="K243"/>
    </row>
    <row r="244" spans="1:11" s="44" customFormat="1" ht="15">
      <c r="A244" s="41"/>
      <c r="B244" s="54"/>
      <c r="C244" s="26" t="s">
        <v>223</v>
      </c>
      <c r="D244" s="56"/>
      <c r="E244" s="56">
        <v>18365</v>
      </c>
      <c r="F244" s="56">
        <f t="shared" si="2"/>
        <v>18365</v>
      </c>
      <c r="G244"/>
      <c r="H244"/>
      <c r="K244"/>
    </row>
    <row r="245" spans="1:11" s="44" customFormat="1" ht="15">
      <c r="A245" s="41"/>
      <c r="B245" s="54"/>
      <c r="C245" s="26" t="s">
        <v>247</v>
      </c>
      <c r="D245" s="56"/>
      <c r="E245" s="56">
        <v>96919</v>
      </c>
      <c r="F245" s="56">
        <f t="shared" si="2"/>
        <v>96919</v>
      </c>
      <c r="G245"/>
      <c r="H245"/>
      <c r="K245"/>
    </row>
    <row r="246" spans="1:11" s="44" customFormat="1" ht="15">
      <c r="A246" s="41"/>
      <c r="B246" s="54"/>
      <c r="C246" s="26" t="s">
        <v>251</v>
      </c>
      <c r="D246" s="56"/>
      <c r="E246" s="56">
        <v>85603</v>
      </c>
      <c r="F246" s="56">
        <f t="shared" si="2"/>
        <v>85603</v>
      </c>
      <c r="G246"/>
      <c r="H246"/>
      <c r="K246"/>
    </row>
    <row r="247" spans="1:11" s="44" customFormat="1" ht="15">
      <c r="A247" s="41"/>
      <c r="B247" s="54"/>
      <c r="C247" s="26"/>
      <c r="D247" s="56"/>
      <c r="E247" s="56"/>
      <c r="F247" s="56"/>
      <c r="G247"/>
      <c r="H247"/>
      <c r="K247"/>
    </row>
    <row r="248" spans="1:11" s="44" customFormat="1" ht="14.25">
      <c r="A248" s="41"/>
      <c r="B248" s="54"/>
      <c r="C248" s="59" t="s">
        <v>160</v>
      </c>
      <c r="D248" s="60">
        <f>SUM(D249:D249)</f>
        <v>17005882</v>
      </c>
      <c r="E248" s="60">
        <f>SUM(E249:E249)</f>
        <v>200887</v>
      </c>
      <c r="F248" s="60">
        <f>SUM(D248:E248)</f>
        <v>17206769</v>
      </c>
      <c r="G248"/>
      <c r="H248"/>
      <c r="K248"/>
    </row>
    <row r="249" spans="1:11" s="44" customFormat="1" ht="15">
      <c r="A249" s="41"/>
      <c r="B249" s="54"/>
      <c r="C249" s="26" t="s">
        <v>161</v>
      </c>
      <c r="D249" s="56">
        <f>16984602+21280</f>
        <v>17005882</v>
      </c>
      <c r="E249" s="56">
        <v>200887</v>
      </c>
      <c r="F249" s="56">
        <f>SUM(D249:E249)</f>
        <v>17206769</v>
      </c>
      <c r="G249"/>
      <c r="H249"/>
      <c r="K249"/>
    </row>
    <row r="250" spans="1:11" s="44" customFormat="1" ht="15">
      <c r="A250" s="41"/>
      <c r="B250" s="54"/>
      <c r="C250" s="26"/>
      <c r="D250" s="56"/>
      <c r="E250" s="56"/>
      <c r="F250" s="56"/>
      <c r="G250"/>
      <c r="H250"/>
      <c r="K250"/>
    </row>
    <row r="251" spans="1:11" s="44" customFormat="1" ht="15">
      <c r="A251" s="65" t="s">
        <v>253</v>
      </c>
      <c r="B251" s="63" t="s">
        <v>254</v>
      </c>
      <c r="C251" s="24" t="s">
        <v>255</v>
      </c>
      <c r="D251" s="64"/>
      <c r="E251" s="64"/>
      <c r="F251" s="64"/>
      <c r="G251"/>
      <c r="H251"/>
      <c r="K251"/>
    </row>
    <row r="252" spans="1:11" s="44" customFormat="1" ht="14.25">
      <c r="A252" s="41"/>
      <c r="B252" s="54"/>
      <c r="C252" s="59" t="s">
        <v>158</v>
      </c>
      <c r="D252" s="60">
        <f>SUM(D253,D255:D255)</f>
        <v>748055</v>
      </c>
      <c r="E252" s="60">
        <f>SUM(E253:E255)</f>
        <v>2531</v>
      </c>
      <c r="F252" s="60">
        <f>SUM(D252:E252)</f>
        <v>750586</v>
      </c>
      <c r="G252"/>
      <c r="H252"/>
      <c r="K252"/>
    </row>
    <row r="253" spans="1:11" s="44" customFormat="1" ht="15">
      <c r="A253" s="41"/>
      <c r="B253" s="54"/>
      <c r="C253" s="26" t="s">
        <v>159</v>
      </c>
      <c r="D253" s="56">
        <f>SUM(D257)</f>
        <v>748055</v>
      </c>
      <c r="E253" s="56"/>
      <c r="F253" s="56">
        <f>SUM(D253:E253)</f>
        <v>748055</v>
      </c>
      <c r="G253"/>
      <c r="H253"/>
      <c r="K253"/>
    </row>
    <row r="254" spans="1:11" s="44" customFormat="1" ht="15">
      <c r="A254" s="41"/>
      <c r="B254" s="54"/>
      <c r="C254" s="26" t="s">
        <v>246</v>
      </c>
      <c r="D254" s="56">
        <v>576945</v>
      </c>
      <c r="E254" s="56"/>
      <c r="F254" s="56">
        <f>SUM(D254:E254)</f>
        <v>576945</v>
      </c>
      <c r="G254"/>
      <c r="H254"/>
      <c r="K254"/>
    </row>
    <row r="255" spans="1:11" s="44" customFormat="1" ht="15">
      <c r="A255" s="41"/>
      <c r="B255" s="54"/>
      <c r="C255" s="26" t="s">
        <v>251</v>
      </c>
      <c r="D255" s="56"/>
      <c r="E255" s="56">
        <v>2531</v>
      </c>
      <c r="F255" s="56">
        <f>SUM(D255:E255)</f>
        <v>2531</v>
      </c>
      <c r="G255"/>
      <c r="H255"/>
      <c r="K255"/>
    </row>
    <row r="256" spans="1:11" s="44" customFormat="1" ht="15">
      <c r="A256" s="41"/>
      <c r="B256" s="54"/>
      <c r="C256" s="26"/>
      <c r="D256" s="56"/>
      <c r="E256" s="56"/>
      <c r="F256" s="56"/>
      <c r="G256"/>
      <c r="H256"/>
      <c r="K256"/>
    </row>
    <row r="257" spans="1:11" s="44" customFormat="1" ht="14.25">
      <c r="A257" s="41"/>
      <c r="B257" s="54"/>
      <c r="C257" s="59" t="s">
        <v>160</v>
      </c>
      <c r="D257" s="60">
        <f>SUM(D258:D258)</f>
        <v>748055</v>
      </c>
      <c r="E257" s="60">
        <f>SUM(E258:E258)</f>
        <v>2531</v>
      </c>
      <c r="F257" s="60">
        <f>SUM(D257:E257)</f>
        <v>750586</v>
      </c>
      <c r="G257"/>
      <c r="H257"/>
      <c r="K257"/>
    </row>
    <row r="258" spans="1:11" s="44" customFormat="1" ht="15">
      <c r="A258" s="41"/>
      <c r="B258" s="54"/>
      <c r="C258" s="26" t="s">
        <v>161</v>
      </c>
      <c r="D258" s="56">
        <v>748055</v>
      </c>
      <c r="E258" s="56">
        <v>2531</v>
      </c>
      <c r="F258" s="56">
        <f>SUM(D258:E258)</f>
        <v>750586</v>
      </c>
      <c r="G258"/>
      <c r="H258"/>
      <c r="K258"/>
    </row>
    <row r="259" spans="1:11" s="44" customFormat="1" ht="15">
      <c r="A259" s="41"/>
      <c r="B259" s="54"/>
      <c r="C259" s="26"/>
      <c r="D259" s="56"/>
      <c r="E259" s="56"/>
      <c r="F259" s="56"/>
      <c r="G259"/>
      <c r="H259"/>
      <c r="K259"/>
    </row>
    <row r="260" spans="1:11" s="44" customFormat="1" ht="15">
      <c r="A260" s="65" t="s">
        <v>256</v>
      </c>
      <c r="B260" s="63" t="s">
        <v>188</v>
      </c>
      <c r="C260" s="24" t="s">
        <v>189</v>
      </c>
      <c r="D260" s="64"/>
      <c r="E260" s="64"/>
      <c r="F260" s="64"/>
      <c r="G260"/>
      <c r="H260"/>
      <c r="K260"/>
    </row>
    <row r="261" spans="1:11" s="44" customFormat="1" ht="14.25">
      <c r="A261" s="41"/>
      <c r="B261" s="54"/>
      <c r="C261" s="59" t="s">
        <v>158</v>
      </c>
      <c r="D261" s="60">
        <f>SUM(D262,D265:D266)</f>
        <v>6080617</v>
      </c>
      <c r="E261" s="60">
        <f>SUM(E263:E266)</f>
        <v>3792204</v>
      </c>
      <c r="F261" s="60">
        <f aca="true" t="shared" si="3" ref="F261:F266">SUM(D261:E261)</f>
        <v>9872821</v>
      </c>
      <c r="G261"/>
      <c r="H261"/>
      <c r="K261"/>
    </row>
    <row r="262" spans="1:11" s="44" customFormat="1" ht="15">
      <c r="A262" s="41"/>
      <c r="B262" s="54"/>
      <c r="C262" s="26" t="s">
        <v>159</v>
      </c>
      <c r="D262" s="56">
        <f>SUM(D268)</f>
        <v>6080617</v>
      </c>
      <c r="E262" s="56"/>
      <c r="F262" s="56">
        <f t="shared" si="3"/>
        <v>6080617</v>
      </c>
      <c r="G262"/>
      <c r="H262"/>
      <c r="K262"/>
    </row>
    <row r="263" spans="1:11" s="44" customFormat="1" ht="15">
      <c r="A263" s="41"/>
      <c r="B263" s="54"/>
      <c r="C263" s="26" t="s">
        <v>190</v>
      </c>
      <c r="D263" s="56">
        <v>6080617</v>
      </c>
      <c r="E263" s="56">
        <v>332128</v>
      </c>
      <c r="F263" s="56">
        <f t="shared" si="3"/>
        <v>6412745</v>
      </c>
      <c r="G263"/>
      <c r="H263"/>
      <c r="K263"/>
    </row>
    <row r="264" spans="1:11" s="44" customFormat="1" ht="15">
      <c r="A264" s="41"/>
      <c r="B264" s="54"/>
      <c r="C264" s="26" t="s">
        <v>257</v>
      </c>
      <c r="D264" s="56"/>
      <c r="E264" s="56">
        <v>1914818</v>
      </c>
      <c r="F264" s="56">
        <f t="shared" si="3"/>
        <v>1914818</v>
      </c>
      <c r="G264"/>
      <c r="H264"/>
      <c r="K264"/>
    </row>
    <row r="265" spans="1:11" s="44" customFormat="1" ht="15">
      <c r="A265" s="41"/>
      <c r="B265" s="54"/>
      <c r="C265" s="26" t="s">
        <v>247</v>
      </c>
      <c r="D265" s="56"/>
      <c r="E265" s="56">
        <v>1278546</v>
      </c>
      <c r="F265" s="56">
        <f t="shared" si="3"/>
        <v>1278546</v>
      </c>
      <c r="G265"/>
      <c r="H265"/>
      <c r="K265"/>
    </row>
    <row r="266" spans="1:11" s="44" customFormat="1" ht="15">
      <c r="A266" s="41"/>
      <c r="B266" s="54"/>
      <c r="C266" s="26" t="s">
        <v>251</v>
      </c>
      <c r="D266" s="56"/>
      <c r="E266" s="56">
        <v>266712</v>
      </c>
      <c r="F266" s="56">
        <f t="shared" si="3"/>
        <v>266712</v>
      </c>
      <c r="G266"/>
      <c r="H266"/>
      <c r="K266"/>
    </row>
    <row r="267" spans="1:11" s="44" customFormat="1" ht="15">
      <c r="A267" s="41"/>
      <c r="B267" s="54"/>
      <c r="C267" s="26"/>
      <c r="D267" s="56"/>
      <c r="E267" s="56"/>
      <c r="F267" s="56"/>
      <c r="G267"/>
      <c r="H267"/>
      <c r="K267"/>
    </row>
    <row r="268" spans="1:11" s="44" customFormat="1" ht="14.25">
      <c r="A268" s="41"/>
      <c r="B268" s="54"/>
      <c r="C268" s="59" t="s">
        <v>160</v>
      </c>
      <c r="D268" s="60">
        <f>SUM(D269:D270)</f>
        <v>6080617</v>
      </c>
      <c r="E268" s="60">
        <f>SUM(E269:E270)</f>
        <v>3792204</v>
      </c>
      <c r="F268" s="60">
        <f>SUM(D268:E268)</f>
        <v>9872821</v>
      </c>
      <c r="G268"/>
      <c r="H268"/>
      <c r="K268"/>
    </row>
    <row r="269" spans="1:11" s="44" customFormat="1" ht="15">
      <c r="A269" s="41"/>
      <c r="B269" s="54"/>
      <c r="C269" s="26" t="s">
        <v>161</v>
      </c>
      <c r="D269" s="56">
        <f>5905274+4568</f>
        <v>5909842</v>
      </c>
      <c r="E269" s="56">
        <f>1877386</f>
        <v>1877386</v>
      </c>
      <c r="F269" s="56">
        <f>SUM(D269:E269)</f>
        <v>7787228</v>
      </c>
      <c r="G269"/>
      <c r="H269"/>
      <c r="K269"/>
    </row>
    <row r="270" spans="1:11" s="44" customFormat="1" ht="15">
      <c r="A270" s="41"/>
      <c r="B270" s="54"/>
      <c r="C270" s="26" t="s">
        <v>168</v>
      </c>
      <c r="D270" s="56">
        <v>170775</v>
      </c>
      <c r="E270" s="56">
        <v>1914818</v>
      </c>
      <c r="F270" s="56">
        <f>SUM(D270:E270)</f>
        <v>2085593</v>
      </c>
      <c r="G270"/>
      <c r="H270"/>
      <c r="K270"/>
    </row>
    <row r="271" spans="1:11" s="44" customFormat="1" ht="15">
      <c r="A271" s="41"/>
      <c r="B271" s="54"/>
      <c r="C271" s="26"/>
      <c r="D271" s="56"/>
      <c r="E271" s="56"/>
      <c r="F271" s="56"/>
      <c r="G271"/>
      <c r="H271"/>
      <c r="K271"/>
    </row>
    <row r="272" spans="1:11" s="44" customFormat="1" ht="15">
      <c r="A272" s="65" t="s">
        <v>258</v>
      </c>
      <c r="B272" s="63" t="s">
        <v>259</v>
      </c>
      <c r="C272" s="24" t="s">
        <v>260</v>
      </c>
      <c r="D272" s="64"/>
      <c r="E272" s="64"/>
      <c r="F272" s="64"/>
      <c r="G272"/>
      <c r="H272"/>
      <c r="K272"/>
    </row>
    <row r="273" spans="1:11" s="44" customFormat="1" ht="14.25">
      <c r="A273" s="41"/>
      <c r="B273" s="54"/>
      <c r="C273" s="59" t="s">
        <v>158</v>
      </c>
      <c r="D273" s="60">
        <f>SUM(D274,D276:D277)</f>
        <v>614687</v>
      </c>
      <c r="E273" s="60">
        <f>SUM(E274,E276:E277)</f>
        <v>14950</v>
      </c>
      <c r="F273" s="60">
        <f>SUM(D273:E273)</f>
        <v>629637</v>
      </c>
      <c r="G273"/>
      <c r="H273"/>
      <c r="K273"/>
    </row>
    <row r="274" spans="1:11" s="44" customFormat="1" ht="15">
      <c r="A274" s="41"/>
      <c r="B274" s="54"/>
      <c r="C274" s="26" t="s">
        <v>159</v>
      </c>
      <c r="D274" s="56">
        <f>SUM(D279)</f>
        <v>614687</v>
      </c>
      <c r="E274" s="56"/>
      <c r="F274" s="56">
        <f>SUM(D274:E274)</f>
        <v>614687</v>
      </c>
      <c r="G274"/>
      <c r="H274"/>
      <c r="K274"/>
    </row>
    <row r="275" spans="1:11" s="44" customFormat="1" ht="15">
      <c r="A275" s="41"/>
      <c r="B275" s="54"/>
      <c r="C275" s="26" t="s">
        <v>246</v>
      </c>
      <c r="D275" s="56">
        <v>393062</v>
      </c>
      <c r="E275" s="56"/>
      <c r="F275" s="56">
        <f>SUM(D275:E275)</f>
        <v>393062</v>
      </c>
      <c r="G275"/>
      <c r="H275"/>
      <c r="K275"/>
    </row>
    <row r="276" spans="1:11" s="44" customFormat="1" ht="15">
      <c r="A276" s="41"/>
      <c r="B276" s="54"/>
      <c r="C276" s="26" t="s">
        <v>247</v>
      </c>
      <c r="D276" s="56"/>
      <c r="E276" s="56">
        <v>6000</v>
      </c>
      <c r="F276" s="56">
        <f>SUM(D276:E276)</f>
        <v>6000</v>
      </c>
      <c r="G276"/>
      <c r="H276"/>
      <c r="K276"/>
    </row>
    <row r="277" spans="1:11" s="44" customFormat="1" ht="15">
      <c r="A277" s="41"/>
      <c r="B277" s="54"/>
      <c r="C277" s="26" t="s">
        <v>251</v>
      </c>
      <c r="D277" s="56"/>
      <c r="E277" s="56">
        <v>8950</v>
      </c>
      <c r="F277" s="56">
        <f>SUM(D277:E277)</f>
        <v>8950</v>
      </c>
      <c r="G277"/>
      <c r="H277"/>
      <c r="K277"/>
    </row>
    <row r="278" spans="1:11" s="44" customFormat="1" ht="15">
      <c r="A278" s="41"/>
      <c r="B278" s="54"/>
      <c r="C278" s="26"/>
      <c r="D278" s="56"/>
      <c r="E278" s="56"/>
      <c r="F278" s="56"/>
      <c r="G278"/>
      <c r="H278"/>
      <c r="K278"/>
    </row>
    <row r="279" spans="1:11" s="44" customFormat="1" ht="14.25">
      <c r="A279" s="41"/>
      <c r="B279" s="54"/>
      <c r="C279" s="59" t="s">
        <v>160</v>
      </c>
      <c r="D279" s="60">
        <f>SUM(D280:D280)</f>
        <v>614687</v>
      </c>
      <c r="E279" s="60">
        <f>SUM(E280:E280)</f>
        <v>14950</v>
      </c>
      <c r="F279" s="60">
        <f>SUM(D279:E279)</f>
        <v>629637</v>
      </c>
      <c r="G279"/>
      <c r="H279"/>
      <c r="K279"/>
    </row>
    <row r="280" spans="1:11" s="44" customFormat="1" ht="15">
      <c r="A280" s="41"/>
      <c r="B280" s="54"/>
      <c r="C280" s="26" t="s">
        <v>161</v>
      </c>
      <c r="D280" s="56">
        <v>614687</v>
      </c>
      <c r="E280" s="56">
        <v>14950</v>
      </c>
      <c r="F280" s="56">
        <f>SUM(D280:E280)</f>
        <v>629637</v>
      </c>
      <c r="G280"/>
      <c r="H280"/>
      <c r="K280"/>
    </row>
    <row r="281" spans="1:11" s="44" customFormat="1" ht="15">
      <c r="A281" s="41"/>
      <c r="B281" s="54"/>
      <c r="C281" s="26"/>
      <c r="D281" s="56"/>
      <c r="E281" s="56"/>
      <c r="F281" s="56"/>
      <c r="G281"/>
      <c r="H281"/>
      <c r="K281"/>
    </row>
    <row r="282" spans="1:11" s="44" customFormat="1" ht="15">
      <c r="A282" s="65" t="s">
        <v>261</v>
      </c>
      <c r="B282" s="63" t="s">
        <v>262</v>
      </c>
      <c r="C282" s="24" t="s">
        <v>263</v>
      </c>
      <c r="D282" s="64"/>
      <c r="E282" s="64"/>
      <c r="F282" s="64"/>
      <c r="G282"/>
      <c r="H282"/>
      <c r="K282"/>
    </row>
    <row r="283" spans="1:11" s="44" customFormat="1" ht="14.25">
      <c r="A283" s="41"/>
      <c r="B283" s="54"/>
      <c r="C283" s="59" t="s">
        <v>158</v>
      </c>
      <c r="D283" s="60">
        <f>SUM(D284,D286)</f>
        <v>138193</v>
      </c>
      <c r="E283" s="60">
        <f>SUM(E285:E286)</f>
        <v>41196</v>
      </c>
      <c r="F283" s="60">
        <f>SUM(D283:E283)</f>
        <v>179389</v>
      </c>
      <c r="G283"/>
      <c r="H283"/>
      <c r="K283"/>
    </row>
    <row r="284" spans="1:11" s="44" customFormat="1" ht="15">
      <c r="A284" s="41"/>
      <c r="B284" s="54"/>
      <c r="C284" s="26" t="s">
        <v>159</v>
      </c>
      <c r="D284" s="56">
        <f>SUM(D288)</f>
        <v>138193</v>
      </c>
      <c r="E284" s="56"/>
      <c r="F284" s="56">
        <f>SUM(D284:E284)</f>
        <v>138193</v>
      </c>
      <c r="G284"/>
      <c r="H284"/>
      <c r="K284"/>
    </row>
    <row r="285" spans="1:11" s="44" customFormat="1" ht="15">
      <c r="A285" s="41"/>
      <c r="B285" s="54"/>
      <c r="C285" s="26" t="s">
        <v>223</v>
      </c>
      <c r="D285" s="56"/>
      <c r="E285" s="56">
        <v>27460</v>
      </c>
      <c r="F285" s="56">
        <f>SUM(D285:E285)</f>
        <v>27460</v>
      </c>
      <c r="G285"/>
      <c r="H285"/>
      <c r="K285"/>
    </row>
    <row r="286" spans="1:11" s="44" customFormat="1" ht="15">
      <c r="A286" s="41"/>
      <c r="B286" s="54"/>
      <c r="C286" s="26" t="s">
        <v>247</v>
      </c>
      <c r="D286" s="56"/>
      <c r="E286" s="56">
        <v>13736</v>
      </c>
      <c r="F286" s="56">
        <f>SUM(D286:E286)</f>
        <v>13736</v>
      </c>
      <c r="G286"/>
      <c r="H286"/>
      <c r="K286"/>
    </row>
    <row r="287" spans="1:11" s="44" customFormat="1" ht="15">
      <c r="A287" s="41"/>
      <c r="B287" s="54"/>
      <c r="C287" s="26"/>
      <c r="D287" s="56"/>
      <c r="E287" s="56"/>
      <c r="F287" s="56"/>
      <c r="G287"/>
      <c r="H287"/>
      <c r="K287"/>
    </row>
    <row r="288" spans="1:11" s="44" customFormat="1" ht="14.25">
      <c r="A288" s="41"/>
      <c r="B288" s="54"/>
      <c r="C288" s="59" t="s">
        <v>160</v>
      </c>
      <c r="D288" s="60">
        <f>SUM(D289:D289)</f>
        <v>138193</v>
      </c>
      <c r="E288" s="60">
        <f>SUM(E289:E289)</f>
        <v>41196</v>
      </c>
      <c r="F288" s="60">
        <f>SUM(D288:E288)</f>
        <v>179389</v>
      </c>
      <c r="G288"/>
      <c r="H288"/>
      <c r="K288"/>
    </row>
    <row r="289" spans="1:11" s="44" customFormat="1" ht="15">
      <c r="A289" s="41"/>
      <c r="B289" s="54"/>
      <c r="C289" s="26" t="s">
        <v>161</v>
      </c>
      <c r="D289" s="56">
        <v>138193</v>
      </c>
      <c r="E289" s="56">
        <v>41196</v>
      </c>
      <c r="F289" s="56">
        <f>SUM(D289:E289)</f>
        <v>179389</v>
      </c>
      <c r="G289"/>
      <c r="H289"/>
      <c r="K289"/>
    </row>
    <row r="290" spans="1:11" s="44" customFormat="1" ht="15">
      <c r="A290" s="41"/>
      <c r="B290" s="54"/>
      <c r="C290" s="26"/>
      <c r="D290" s="56"/>
      <c r="E290" s="56"/>
      <c r="F290" s="56"/>
      <c r="G290"/>
      <c r="H290"/>
      <c r="K290"/>
    </row>
    <row r="291" spans="1:11" s="44" customFormat="1" ht="14.25">
      <c r="A291" s="57" t="s">
        <v>264</v>
      </c>
      <c r="B291" s="58"/>
      <c r="C291" s="59" t="s">
        <v>265</v>
      </c>
      <c r="D291" s="56"/>
      <c r="E291" s="56"/>
      <c r="F291" s="56"/>
      <c r="G291"/>
      <c r="H291"/>
      <c r="K291"/>
    </row>
    <row r="292" spans="1:11" s="44" customFormat="1" ht="14.25">
      <c r="A292" s="41"/>
      <c r="B292" s="54"/>
      <c r="C292" s="59" t="s">
        <v>152</v>
      </c>
      <c r="D292" s="60">
        <f>SUM(D299,D306,D315,D322,D329,D337,D345,D355,D362,D369,D376,D387,D396,D406,D413,D420,D427,D434)</f>
        <v>6497911</v>
      </c>
      <c r="E292" s="60">
        <f>SUM(E299,E306,E315,E322,E329,E337,E345,E355,E362,E369,E376,E387,E396,E406,E413,E420,E427,E434)</f>
        <v>248905</v>
      </c>
      <c r="F292" s="60">
        <f aca="true" t="shared" si="4" ref="F292:F297">SUM(D292:E292)</f>
        <v>6746816</v>
      </c>
      <c r="G292"/>
      <c r="H292"/>
      <c r="K292"/>
    </row>
    <row r="293" spans="1:11" s="44" customFormat="1" ht="14.25">
      <c r="A293" s="41"/>
      <c r="B293" s="54"/>
      <c r="C293" s="59" t="s">
        <v>153</v>
      </c>
      <c r="D293" s="60">
        <f>SUM(D294:D296)</f>
        <v>6497911</v>
      </c>
      <c r="E293" s="60" t="e">
        <f>SUM(E294:E296)</f>
        <v>#REF!</v>
      </c>
      <c r="F293" s="60" t="e">
        <f t="shared" si="4"/>
        <v>#REF!</v>
      </c>
      <c r="G293"/>
      <c r="H293"/>
      <c r="K293"/>
    </row>
    <row r="294" spans="1:11" s="44" customFormat="1" ht="15">
      <c r="A294" s="41"/>
      <c r="B294" s="54"/>
      <c r="C294" s="26" t="s">
        <v>147</v>
      </c>
      <c r="D294" s="56">
        <f>SUMIF($C$291:$C$439,$C$303,D$291:D$439)</f>
        <v>6474540</v>
      </c>
      <c r="E294" s="56">
        <f>SUMIF($C$291:$C$439,$C$303,E$291:E$439)</f>
        <v>248905</v>
      </c>
      <c r="F294" s="56">
        <f t="shared" si="4"/>
        <v>6723445</v>
      </c>
      <c r="G294"/>
      <c r="H294"/>
      <c r="K294"/>
    </row>
    <row r="295" spans="1:11" s="44" customFormat="1" ht="15">
      <c r="A295" s="41"/>
      <c r="B295" s="54"/>
      <c r="C295" s="26" t="s">
        <v>148</v>
      </c>
      <c r="D295" s="56">
        <f>SUM(D384,D403,D334)</f>
        <v>17515</v>
      </c>
      <c r="E295" s="56" t="e">
        <f>SUMIF($C$291:$C$439,#REF!,E$291:E$439)</f>
        <v>#REF!</v>
      </c>
      <c r="F295" s="56" t="e">
        <f t="shared" si="4"/>
        <v>#REF!</v>
      </c>
      <c r="G295"/>
      <c r="H295"/>
      <c r="K295"/>
    </row>
    <row r="296" spans="1:11" s="44" customFormat="1" ht="15">
      <c r="A296" s="41"/>
      <c r="B296" s="54"/>
      <c r="C296" s="26" t="s">
        <v>149</v>
      </c>
      <c r="D296" s="56">
        <f>D310</f>
        <v>5856</v>
      </c>
      <c r="E296" s="56">
        <f>E310</f>
        <v>0</v>
      </c>
      <c r="F296" s="56">
        <f t="shared" si="4"/>
        <v>5856</v>
      </c>
      <c r="G296"/>
      <c r="H296"/>
      <c r="K296"/>
    </row>
    <row r="297" spans="1:11" s="44" customFormat="1" ht="14.25">
      <c r="A297" s="57" t="s">
        <v>266</v>
      </c>
      <c r="B297" s="54"/>
      <c r="C297" s="59" t="s">
        <v>8</v>
      </c>
      <c r="D297" s="60">
        <f>SUM(D302,D309)</f>
        <v>211557</v>
      </c>
      <c r="E297" s="60">
        <f>SUM(E302,E309)</f>
        <v>0</v>
      </c>
      <c r="F297" s="60">
        <f t="shared" si="4"/>
        <v>211557</v>
      </c>
      <c r="G297"/>
      <c r="H297"/>
      <c r="K297"/>
    </row>
    <row r="298" spans="1:11" s="44" customFormat="1" ht="15">
      <c r="A298" s="65" t="s">
        <v>267</v>
      </c>
      <c r="B298" s="63" t="s">
        <v>166</v>
      </c>
      <c r="C298" s="24" t="s">
        <v>199</v>
      </c>
      <c r="D298" s="64"/>
      <c r="E298" s="64"/>
      <c r="F298" s="64"/>
      <c r="G298"/>
      <c r="H298"/>
      <c r="K298"/>
    </row>
    <row r="299" spans="1:11" s="44" customFormat="1" ht="14.25">
      <c r="A299" s="41"/>
      <c r="B299" s="54"/>
      <c r="C299" s="59" t="s">
        <v>158</v>
      </c>
      <c r="D299" s="60">
        <f>SUM(D300)</f>
        <v>205701</v>
      </c>
      <c r="E299" s="60">
        <f>SUM(E300)</f>
        <v>0</v>
      </c>
      <c r="F299" s="60">
        <f>SUM(D299:E299)</f>
        <v>205701</v>
      </c>
      <c r="G299"/>
      <c r="H299"/>
      <c r="K299"/>
    </row>
    <row r="300" spans="1:11" s="44" customFormat="1" ht="15">
      <c r="A300" s="41"/>
      <c r="B300" s="54"/>
      <c r="C300" s="26" t="s">
        <v>159</v>
      </c>
      <c r="D300" s="56">
        <f>SUM(D302)</f>
        <v>205701</v>
      </c>
      <c r="E300" s="56"/>
      <c r="F300" s="56">
        <f>SUM(D300:E300)</f>
        <v>205701</v>
      </c>
      <c r="G300"/>
      <c r="H300"/>
      <c r="K300"/>
    </row>
    <row r="301" spans="1:11" s="44" customFormat="1" ht="15">
      <c r="A301" s="41"/>
      <c r="B301" s="54"/>
      <c r="C301" s="26"/>
      <c r="D301" s="56"/>
      <c r="E301" s="56"/>
      <c r="F301" s="56"/>
      <c r="G301"/>
      <c r="H301"/>
      <c r="K301"/>
    </row>
    <row r="302" spans="1:11" s="44" customFormat="1" ht="14.25">
      <c r="A302" s="41"/>
      <c r="B302" s="54"/>
      <c r="C302" s="59" t="s">
        <v>160</v>
      </c>
      <c r="D302" s="60">
        <f>SUM(D303:D303)</f>
        <v>205701</v>
      </c>
      <c r="E302" s="60">
        <f>SUM(E303:E303)</f>
        <v>0</v>
      </c>
      <c r="F302" s="60">
        <f>SUM(D302:E302)</f>
        <v>205701</v>
      </c>
      <c r="G302"/>
      <c r="H302"/>
      <c r="K302"/>
    </row>
    <row r="303" spans="1:11" s="44" customFormat="1" ht="15">
      <c r="A303" s="41"/>
      <c r="B303" s="54"/>
      <c r="C303" s="26" t="s">
        <v>161</v>
      </c>
      <c r="D303" s="56">
        <f>201811+3890</f>
        <v>205701</v>
      </c>
      <c r="E303" s="56"/>
      <c r="F303" s="56">
        <f>SUM(D303:E303)</f>
        <v>205701</v>
      </c>
      <c r="G303"/>
      <c r="H303"/>
      <c r="K303"/>
    </row>
    <row r="304" spans="1:11" s="44" customFormat="1" ht="15">
      <c r="A304" s="41"/>
      <c r="B304" s="54"/>
      <c r="C304" s="26"/>
      <c r="D304" s="56"/>
      <c r="E304" s="56"/>
      <c r="F304" s="56"/>
      <c r="G304"/>
      <c r="H304"/>
      <c r="K304"/>
    </row>
    <row r="305" spans="1:11" s="44" customFormat="1" ht="15">
      <c r="A305" s="65" t="s">
        <v>268</v>
      </c>
      <c r="B305" s="63" t="s">
        <v>241</v>
      </c>
      <c r="C305" s="24" t="s">
        <v>242</v>
      </c>
      <c r="D305" s="56"/>
      <c r="E305" s="56"/>
      <c r="F305" s="56"/>
      <c r="G305"/>
      <c r="H305"/>
      <c r="K305"/>
    </row>
    <row r="306" spans="1:11" s="44" customFormat="1" ht="14.25">
      <c r="A306" s="41"/>
      <c r="B306" s="54"/>
      <c r="C306" s="59" t="s">
        <v>158</v>
      </c>
      <c r="D306" s="60">
        <f>SUM(D307)</f>
        <v>5856</v>
      </c>
      <c r="E306" s="60"/>
      <c r="F306" s="60">
        <f>SUM(D306:E306)</f>
        <v>5856</v>
      </c>
      <c r="G306"/>
      <c r="H306"/>
      <c r="K306"/>
    </row>
    <row r="307" spans="1:11" s="44" customFormat="1" ht="15">
      <c r="A307" s="41"/>
      <c r="B307" s="54"/>
      <c r="C307" s="26" t="s">
        <v>159</v>
      </c>
      <c r="D307" s="56">
        <f>SUM(D309)</f>
        <v>5856</v>
      </c>
      <c r="E307" s="56"/>
      <c r="F307" s="56">
        <f>SUM(D307:E307)</f>
        <v>5856</v>
      </c>
      <c r="G307"/>
      <c r="H307"/>
      <c r="K307"/>
    </row>
    <row r="308" spans="1:11" s="44" customFormat="1" ht="15">
      <c r="A308" s="41"/>
      <c r="B308" s="54"/>
      <c r="C308" s="26"/>
      <c r="D308" s="56"/>
      <c r="E308" s="56"/>
      <c r="F308" s="56"/>
      <c r="G308"/>
      <c r="H308"/>
      <c r="K308"/>
    </row>
    <row r="309" spans="1:11" s="44" customFormat="1" ht="14.25">
      <c r="A309" s="41"/>
      <c r="B309" s="54"/>
      <c r="C309" s="59" t="s">
        <v>160</v>
      </c>
      <c r="D309" s="60">
        <f>SUM(D310)</f>
        <v>5856</v>
      </c>
      <c r="E309" s="60"/>
      <c r="F309" s="60">
        <f>SUM(D309:E309)</f>
        <v>5856</v>
      </c>
      <c r="G309"/>
      <c r="H309"/>
      <c r="K309"/>
    </row>
    <row r="310" spans="1:11" s="44" customFormat="1" ht="15">
      <c r="A310" s="41"/>
      <c r="B310" s="54"/>
      <c r="C310" s="26" t="s">
        <v>243</v>
      </c>
      <c r="D310" s="56">
        <v>5856</v>
      </c>
      <c r="E310" s="56"/>
      <c r="F310" s="56">
        <f>SUM(D310:E310)</f>
        <v>5856</v>
      </c>
      <c r="G310"/>
      <c r="H310"/>
      <c r="K310"/>
    </row>
    <row r="311" spans="1:11" s="44" customFormat="1" ht="15">
      <c r="A311" s="41"/>
      <c r="B311" s="54"/>
      <c r="C311" s="26"/>
      <c r="D311" s="56"/>
      <c r="E311" s="56"/>
      <c r="F311" s="56"/>
      <c r="G311"/>
      <c r="H311"/>
      <c r="K311"/>
    </row>
    <row r="312" spans="1:11" s="44" customFormat="1" ht="15">
      <c r="A312" s="41"/>
      <c r="B312" s="54"/>
      <c r="C312" s="26"/>
      <c r="D312" s="56"/>
      <c r="E312" s="56"/>
      <c r="F312" s="56"/>
      <c r="G312"/>
      <c r="H312"/>
      <c r="K312"/>
    </row>
    <row r="313" spans="1:11" s="44" customFormat="1" ht="14.25">
      <c r="A313" s="57" t="s">
        <v>269</v>
      </c>
      <c r="B313" s="58"/>
      <c r="C313" s="59" t="s">
        <v>15</v>
      </c>
      <c r="D313" s="60">
        <f>SUM(D318,D325,D332,D341,D351,D358,D365,D372,D382,D392,D401,D409,D416,D423,D430,D437)</f>
        <v>6286354</v>
      </c>
      <c r="E313" s="60">
        <f>SUM(E318,E325,E332,E341,E351,E358,E365,E372,E382,E392,E401,E409,E416,E423,E430,E437)</f>
        <v>248905</v>
      </c>
      <c r="F313" s="60">
        <f>SUM(D313:E313)</f>
        <v>6535259</v>
      </c>
      <c r="G313"/>
      <c r="H313"/>
      <c r="K313"/>
    </row>
    <row r="314" spans="1:11" s="44" customFormat="1" ht="15">
      <c r="A314" s="65" t="s">
        <v>270</v>
      </c>
      <c r="B314" s="63" t="s">
        <v>271</v>
      </c>
      <c r="C314" s="24" t="s">
        <v>272</v>
      </c>
      <c r="D314" s="64"/>
      <c r="E314" s="64"/>
      <c r="F314" s="64"/>
      <c r="G314"/>
      <c r="H314"/>
      <c r="K314"/>
    </row>
    <row r="315" spans="1:11" s="44" customFormat="1" ht="14.25">
      <c r="A315" s="41"/>
      <c r="B315" s="54"/>
      <c r="C315" s="59" t="s">
        <v>158</v>
      </c>
      <c r="D315" s="60">
        <f>SUM(D316)</f>
        <v>1005540</v>
      </c>
      <c r="E315" s="60">
        <f>SUM(E316)</f>
        <v>0</v>
      </c>
      <c r="F315" s="60">
        <f>SUM(D315:E315)</f>
        <v>1005540</v>
      </c>
      <c r="G315"/>
      <c r="H315"/>
      <c r="K315"/>
    </row>
    <row r="316" spans="1:11" s="44" customFormat="1" ht="15">
      <c r="A316" s="41"/>
      <c r="B316" s="54"/>
      <c r="C316" s="26" t="s">
        <v>159</v>
      </c>
      <c r="D316" s="56">
        <f>SUM(D318)</f>
        <v>1005540</v>
      </c>
      <c r="E316" s="56"/>
      <c r="F316" s="56">
        <f>SUM(D316:E316)</f>
        <v>1005540</v>
      </c>
      <c r="G316"/>
      <c r="H316"/>
      <c r="K316"/>
    </row>
    <row r="317" spans="1:11" s="44" customFormat="1" ht="15">
      <c r="A317" s="41"/>
      <c r="B317" s="54"/>
      <c r="C317" s="26"/>
      <c r="D317" s="56"/>
      <c r="E317" s="56"/>
      <c r="F317" s="56"/>
      <c r="G317"/>
      <c r="H317"/>
      <c r="K317"/>
    </row>
    <row r="318" spans="1:11" s="44" customFormat="1" ht="14.25">
      <c r="A318" s="41"/>
      <c r="B318" s="54"/>
      <c r="C318" s="59" t="s">
        <v>160</v>
      </c>
      <c r="D318" s="60">
        <f>SUM(D319:D319)</f>
        <v>1005540</v>
      </c>
      <c r="E318" s="60">
        <f>SUM(E319:E319)</f>
        <v>0</v>
      </c>
      <c r="F318" s="60">
        <f>SUM(D318:E318)</f>
        <v>1005540</v>
      </c>
      <c r="G318"/>
      <c r="H318"/>
      <c r="K318"/>
    </row>
    <row r="319" spans="1:11" s="44" customFormat="1" ht="15">
      <c r="A319" s="41"/>
      <c r="B319" s="54"/>
      <c r="C319" s="26" t="s">
        <v>161</v>
      </c>
      <c r="D319" s="56">
        <f>1000540+5000</f>
        <v>1005540</v>
      </c>
      <c r="E319" s="56"/>
      <c r="F319" s="56">
        <f>SUM(D319:E319)</f>
        <v>1005540</v>
      </c>
      <c r="G319"/>
      <c r="H319"/>
      <c r="K319"/>
    </row>
    <row r="320" spans="1:11" s="44" customFormat="1" ht="15">
      <c r="A320" s="41"/>
      <c r="B320" s="54"/>
      <c r="C320" s="26"/>
      <c r="D320" s="56"/>
      <c r="E320" s="56"/>
      <c r="F320" s="56"/>
      <c r="G320"/>
      <c r="H320"/>
      <c r="K320"/>
    </row>
    <row r="321" spans="1:11" s="44" customFormat="1" ht="15">
      <c r="A321" s="65" t="s">
        <v>273</v>
      </c>
      <c r="B321" s="63" t="s">
        <v>274</v>
      </c>
      <c r="C321" s="24" t="s">
        <v>275</v>
      </c>
      <c r="D321" s="64"/>
      <c r="E321" s="64"/>
      <c r="F321" s="64"/>
      <c r="G321"/>
      <c r="H321"/>
      <c r="K321"/>
    </row>
    <row r="322" spans="1:11" s="44" customFormat="1" ht="14.25">
      <c r="A322" s="41"/>
      <c r="B322" s="54"/>
      <c r="C322" s="59" t="s">
        <v>158</v>
      </c>
      <c r="D322" s="60">
        <f>SUM(D323:D323)</f>
        <v>337964</v>
      </c>
      <c r="E322" s="60">
        <f>SUM(E323:E323)</f>
        <v>0</v>
      </c>
      <c r="F322" s="60">
        <f>SUM(D322:E322)</f>
        <v>337964</v>
      </c>
      <c r="G322"/>
      <c r="H322"/>
      <c r="K322"/>
    </row>
    <row r="323" spans="1:11" s="44" customFormat="1" ht="15">
      <c r="A323" s="41"/>
      <c r="B323" s="54"/>
      <c r="C323" s="26" t="s">
        <v>159</v>
      </c>
      <c r="D323" s="56">
        <f>SUM(D325)</f>
        <v>337964</v>
      </c>
      <c r="E323" s="56"/>
      <c r="F323" s="56">
        <f>SUM(D323:E323)</f>
        <v>337964</v>
      </c>
      <c r="G323"/>
      <c r="H323"/>
      <c r="K323"/>
    </row>
    <row r="324" spans="1:11" s="44" customFormat="1" ht="15">
      <c r="A324" s="41"/>
      <c r="B324" s="54"/>
      <c r="C324" s="26"/>
      <c r="D324" s="56"/>
      <c r="E324" s="56"/>
      <c r="F324" s="56"/>
      <c r="G324"/>
      <c r="H324"/>
      <c r="K324"/>
    </row>
    <row r="325" spans="1:11" s="44" customFormat="1" ht="14.25">
      <c r="A325" s="41"/>
      <c r="B325" s="54"/>
      <c r="C325" s="59" t="s">
        <v>160</v>
      </c>
      <c r="D325" s="60">
        <f>SUM(D326:D326)</f>
        <v>337964</v>
      </c>
      <c r="E325" s="60">
        <f>SUM(E326:E326)</f>
        <v>0</v>
      </c>
      <c r="F325" s="60">
        <f>SUM(D325:E325)</f>
        <v>337964</v>
      </c>
      <c r="G325"/>
      <c r="H325"/>
      <c r="K325"/>
    </row>
    <row r="326" spans="1:11" s="44" customFormat="1" ht="15">
      <c r="A326" s="41"/>
      <c r="B326" s="54"/>
      <c r="C326" s="26" t="s">
        <v>161</v>
      </c>
      <c r="D326" s="56">
        <v>337964</v>
      </c>
      <c r="E326" s="56"/>
      <c r="F326" s="56">
        <f>SUM(D326:E326)</f>
        <v>337964</v>
      </c>
      <c r="G326"/>
      <c r="H326"/>
      <c r="K326"/>
    </row>
    <row r="327" spans="1:11" s="44" customFormat="1" ht="15">
      <c r="A327" s="41"/>
      <c r="B327" s="54"/>
      <c r="C327" s="26"/>
      <c r="D327" s="56"/>
      <c r="E327" s="56"/>
      <c r="F327" s="56"/>
      <c r="G327"/>
      <c r="H327"/>
      <c r="K327"/>
    </row>
    <row r="328" spans="1:11" s="44" customFormat="1" ht="15">
      <c r="A328" s="65" t="s">
        <v>276</v>
      </c>
      <c r="B328" s="63" t="s">
        <v>277</v>
      </c>
      <c r="C328" s="24" t="s">
        <v>278</v>
      </c>
      <c r="D328" s="64"/>
      <c r="E328" s="64"/>
      <c r="F328" s="64"/>
      <c r="G328"/>
      <c r="H328"/>
      <c r="K328"/>
    </row>
    <row r="329" spans="1:11" s="44" customFormat="1" ht="14.25">
      <c r="A329" s="41"/>
      <c r="B329" s="54"/>
      <c r="C329" s="59" t="s">
        <v>158</v>
      </c>
      <c r="D329" s="60">
        <f>SUM(D330:D330)</f>
        <v>118041</v>
      </c>
      <c r="E329" s="60">
        <f>SUM(E330:E330)</f>
        <v>0</v>
      </c>
      <c r="F329" s="60">
        <f>SUM(D329:E329)</f>
        <v>118041</v>
      </c>
      <c r="G329"/>
      <c r="H329"/>
      <c r="K329"/>
    </row>
    <row r="330" spans="1:11" s="44" customFormat="1" ht="15">
      <c r="A330" s="41"/>
      <c r="B330" s="54"/>
      <c r="C330" s="26" t="s">
        <v>159</v>
      </c>
      <c r="D330" s="56">
        <f>SUM(D332)</f>
        <v>118041</v>
      </c>
      <c r="E330" s="56"/>
      <c r="F330" s="56">
        <f>SUM(D330:E330)</f>
        <v>118041</v>
      </c>
      <c r="G330"/>
      <c r="H330"/>
      <c r="K330"/>
    </row>
    <row r="331" spans="1:11" s="44" customFormat="1" ht="15">
      <c r="A331" s="41"/>
      <c r="B331" s="54"/>
      <c r="C331" s="26"/>
      <c r="D331" s="56"/>
      <c r="E331" s="56"/>
      <c r="F331" s="56"/>
      <c r="G331"/>
      <c r="H331"/>
      <c r="K331"/>
    </row>
    <row r="332" spans="1:11" s="44" customFormat="1" ht="14.25">
      <c r="A332" s="41"/>
      <c r="B332" s="54"/>
      <c r="C332" s="59" t="s">
        <v>160</v>
      </c>
      <c r="D332" s="60">
        <f>SUM(D333:D334)</f>
        <v>118041</v>
      </c>
      <c r="E332" s="60">
        <f>SUM(E333:E333)</f>
        <v>0</v>
      </c>
      <c r="F332" s="60">
        <f>SUM(D332:E332)</f>
        <v>118041</v>
      </c>
      <c r="G332"/>
      <c r="H332"/>
      <c r="K332"/>
    </row>
    <row r="333" spans="1:11" s="44" customFormat="1" ht="15">
      <c r="A333" s="41"/>
      <c r="B333" s="54"/>
      <c r="C333" s="26" t="s">
        <v>161</v>
      </c>
      <c r="D333" s="56">
        <v>115041</v>
      </c>
      <c r="E333" s="56"/>
      <c r="F333" s="56">
        <f>SUM(D333:E333)</f>
        <v>115041</v>
      </c>
      <c r="G333"/>
      <c r="H333"/>
      <c r="K333"/>
    </row>
    <row r="334" spans="1:11" s="44" customFormat="1" ht="15">
      <c r="A334" s="41"/>
      <c r="B334" s="54"/>
      <c r="C334" s="26" t="s">
        <v>168</v>
      </c>
      <c r="D334" s="56">
        <v>3000</v>
      </c>
      <c r="E334" s="56"/>
      <c r="F334" s="56">
        <f>SUM(D334:E334)</f>
        <v>3000</v>
      </c>
      <c r="G334"/>
      <c r="H334"/>
      <c r="K334"/>
    </row>
    <row r="335" spans="1:11" s="44" customFormat="1" ht="15">
      <c r="A335" s="41"/>
      <c r="B335" s="54"/>
      <c r="C335" s="26"/>
      <c r="D335" s="56"/>
      <c r="E335" s="56"/>
      <c r="F335" s="56"/>
      <c r="G335"/>
      <c r="H335"/>
      <c r="K335"/>
    </row>
    <row r="336" spans="1:11" s="44" customFormat="1" ht="30">
      <c r="A336" s="65" t="s">
        <v>279</v>
      </c>
      <c r="B336" s="63" t="s">
        <v>280</v>
      </c>
      <c r="C336" s="24" t="s">
        <v>281</v>
      </c>
      <c r="D336" s="64"/>
      <c r="E336" s="64"/>
      <c r="F336" s="64"/>
      <c r="G336"/>
      <c r="H336"/>
      <c r="K336"/>
    </row>
    <row r="337" spans="1:11" s="44" customFormat="1" ht="14.25">
      <c r="A337" s="41"/>
      <c r="B337" s="54"/>
      <c r="C337" s="59" t="s">
        <v>158</v>
      </c>
      <c r="D337" s="60">
        <f>SUM(D338:D339)</f>
        <v>1238652</v>
      </c>
      <c r="E337" s="60">
        <f>SUM(E338:E339)</f>
        <v>44698</v>
      </c>
      <c r="F337" s="60">
        <f>SUM(D337:E337)</f>
        <v>1283350</v>
      </c>
      <c r="G337"/>
      <c r="H337"/>
      <c r="K337"/>
    </row>
    <row r="338" spans="1:11" s="44" customFormat="1" ht="15">
      <c r="A338" s="41"/>
      <c r="B338" s="54"/>
      <c r="C338" s="26" t="s">
        <v>159</v>
      </c>
      <c r="D338" s="56">
        <f>SUM(D341)</f>
        <v>1238652</v>
      </c>
      <c r="E338" s="56"/>
      <c r="F338" s="56">
        <f>SUM(D338:E338)</f>
        <v>1238652</v>
      </c>
      <c r="G338"/>
      <c r="H338"/>
      <c r="K338"/>
    </row>
    <row r="339" spans="1:11" s="44" customFormat="1" ht="15">
      <c r="A339" s="41"/>
      <c r="B339" s="54"/>
      <c r="C339" s="26" t="s">
        <v>282</v>
      </c>
      <c r="D339" s="56"/>
      <c r="E339" s="56">
        <v>44698</v>
      </c>
      <c r="F339" s="56">
        <f>SUM(D339:E339)</f>
        <v>44698</v>
      </c>
      <c r="G339"/>
      <c r="H339"/>
      <c r="K339"/>
    </row>
    <row r="340" spans="1:11" s="44" customFormat="1" ht="15">
      <c r="A340" s="41"/>
      <c r="B340" s="54"/>
      <c r="C340" s="26"/>
      <c r="D340" s="56"/>
      <c r="E340" s="56"/>
      <c r="F340" s="56"/>
      <c r="G340"/>
      <c r="H340"/>
      <c r="K340"/>
    </row>
    <row r="341" spans="1:11" s="44" customFormat="1" ht="14.25">
      <c r="A341" s="41"/>
      <c r="B341" s="54"/>
      <c r="C341" s="59" t="s">
        <v>160</v>
      </c>
      <c r="D341" s="60">
        <f>SUM(D342:D342)</f>
        <v>1238652</v>
      </c>
      <c r="E341" s="60">
        <f>SUM(E342:E342)</f>
        <v>44698</v>
      </c>
      <c r="F341" s="60">
        <f>SUM(D341:E341)</f>
        <v>1283350</v>
      </c>
      <c r="G341"/>
      <c r="H341"/>
      <c r="K341"/>
    </row>
    <row r="342" spans="1:11" s="44" customFormat="1" ht="15">
      <c r="A342" s="41"/>
      <c r="B342" s="54"/>
      <c r="C342" s="26" t="s">
        <v>161</v>
      </c>
      <c r="D342" s="56">
        <v>1238652</v>
      </c>
      <c r="E342" s="56">
        <v>44698</v>
      </c>
      <c r="F342" s="56">
        <f>SUM(D342:E342)</f>
        <v>1283350</v>
      </c>
      <c r="G342"/>
      <c r="H342"/>
      <c r="K342"/>
    </row>
    <row r="343" spans="1:11" s="44" customFormat="1" ht="15">
      <c r="A343" s="41"/>
      <c r="B343" s="54"/>
      <c r="C343" s="26"/>
      <c r="D343" s="56"/>
      <c r="E343" s="56"/>
      <c r="F343" s="56"/>
      <c r="G343"/>
      <c r="H343"/>
      <c r="K343"/>
    </row>
    <row r="344" spans="1:11" s="44" customFormat="1" ht="15">
      <c r="A344" s="65" t="s">
        <v>283</v>
      </c>
      <c r="B344" s="63" t="s">
        <v>284</v>
      </c>
      <c r="C344" s="24" t="s">
        <v>285</v>
      </c>
      <c r="D344" s="64"/>
      <c r="E344" s="64"/>
      <c r="F344" s="64"/>
      <c r="G344"/>
      <c r="H344"/>
      <c r="K344"/>
    </row>
    <row r="345" spans="1:11" s="44" customFormat="1" ht="14.25">
      <c r="A345" s="41"/>
      <c r="B345" s="54"/>
      <c r="C345" s="59" t="s">
        <v>158</v>
      </c>
      <c r="D345" s="60">
        <f>SUM(D346:D349)</f>
        <v>409558</v>
      </c>
      <c r="E345" s="60">
        <f>SUM(E346:E349)</f>
        <v>45649</v>
      </c>
      <c r="F345" s="60">
        <f>SUM(D345:E345)</f>
        <v>455207</v>
      </c>
      <c r="G345"/>
      <c r="H345"/>
      <c r="K345"/>
    </row>
    <row r="346" spans="1:11" s="44" customFormat="1" ht="15">
      <c r="A346" s="41"/>
      <c r="B346" s="54"/>
      <c r="C346" s="26" t="s">
        <v>159</v>
      </c>
      <c r="D346" s="56">
        <f>SUM(D351)</f>
        <v>409558</v>
      </c>
      <c r="E346" s="56"/>
      <c r="F346" s="56">
        <f>SUM(D346:E346)</f>
        <v>409558</v>
      </c>
      <c r="G346"/>
      <c r="H346"/>
      <c r="K346"/>
    </row>
    <row r="347" spans="1:11" s="44" customFormat="1" ht="15">
      <c r="A347" s="41"/>
      <c r="B347" s="54"/>
      <c r="C347" s="26" t="s">
        <v>223</v>
      </c>
      <c r="D347" s="56"/>
      <c r="E347" s="56">
        <v>1483</v>
      </c>
      <c r="F347" s="56">
        <f>SUM(D347:E347)</f>
        <v>1483</v>
      </c>
      <c r="G347"/>
      <c r="H347"/>
      <c r="K347"/>
    </row>
    <row r="348" spans="1:11" s="44" customFormat="1" ht="15">
      <c r="A348" s="41"/>
      <c r="B348" s="54"/>
      <c r="C348" s="26" t="s">
        <v>286</v>
      </c>
      <c r="D348" s="56"/>
      <c r="E348" s="56">
        <v>32317</v>
      </c>
      <c r="F348" s="56">
        <f>SUM(D348:E348)</f>
        <v>32317</v>
      </c>
      <c r="G348"/>
      <c r="H348"/>
      <c r="K348"/>
    </row>
    <row r="349" spans="1:11" s="44" customFormat="1" ht="15">
      <c r="A349" s="41"/>
      <c r="B349" s="54"/>
      <c r="C349" s="26" t="s">
        <v>251</v>
      </c>
      <c r="D349" s="56"/>
      <c r="E349" s="56">
        <v>11849</v>
      </c>
      <c r="F349" s="56">
        <f>SUM(D349:E349)</f>
        <v>11849</v>
      </c>
      <c r="G349"/>
      <c r="H349"/>
      <c r="K349"/>
    </row>
    <row r="350" spans="1:11" s="44" customFormat="1" ht="15">
      <c r="A350" s="41"/>
      <c r="B350" s="54"/>
      <c r="C350" s="26"/>
      <c r="D350" s="56"/>
      <c r="E350" s="56"/>
      <c r="F350" s="56"/>
      <c r="G350"/>
      <c r="H350"/>
      <c r="K350"/>
    </row>
    <row r="351" spans="1:11" s="44" customFormat="1" ht="14.25">
      <c r="A351" s="41"/>
      <c r="B351" s="54"/>
      <c r="C351" s="59" t="s">
        <v>160</v>
      </c>
      <c r="D351" s="60">
        <f>SUM(D352:D352)</f>
        <v>409558</v>
      </c>
      <c r="E351" s="60">
        <f>SUM(E352:E352)</f>
        <v>45649</v>
      </c>
      <c r="F351" s="60">
        <f>SUM(D351:E351)</f>
        <v>455207</v>
      </c>
      <c r="G351"/>
      <c r="H351"/>
      <c r="K351"/>
    </row>
    <row r="352" spans="1:11" s="44" customFormat="1" ht="15">
      <c r="A352" s="41"/>
      <c r="B352" s="54"/>
      <c r="C352" s="26" t="s">
        <v>161</v>
      </c>
      <c r="D352" s="56">
        <v>409558</v>
      </c>
      <c r="E352" s="56">
        <v>45649</v>
      </c>
      <c r="F352" s="56">
        <f>SUM(D352:E352)</f>
        <v>455207</v>
      </c>
      <c r="G352"/>
      <c r="H352"/>
      <c r="K352"/>
    </row>
    <row r="353" spans="1:11" s="44" customFormat="1" ht="15">
      <c r="A353" s="41"/>
      <c r="B353" s="54"/>
      <c r="C353" s="26"/>
      <c r="D353" s="56"/>
      <c r="E353" s="56"/>
      <c r="F353" s="56"/>
      <c r="G353"/>
      <c r="H353"/>
      <c r="K353"/>
    </row>
    <row r="354" spans="1:11" s="44" customFormat="1" ht="15">
      <c r="A354" s="65" t="s">
        <v>287</v>
      </c>
      <c r="B354" s="63" t="s">
        <v>288</v>
      </c>
      <c r="C354" s="24" t="s">
        <v>289</v>
      </c>
      <c r="D354" s="64"/>
      <c r="E354" s="64"/>
      <c r="F354" s="64"/>
      <c r="G354"/>
      <c r="H354"/>
      <c r="K354"/>
    </row>
    <row r="355" spans="1:11" s="44" customFormat="1" ht="14.25">
      <c r="A355" s="41"/>
      <c r="B355" s="54"/>
      <c r="C355" s="59" t="s">
        <v>158</v>
      </c>
      <c r="D355" s="60">
        <f>SUM(D356)</f>
        <v>76866</v>
      </c>
      <c r="E355" s="60">
        <f>SUM(E356)</f>
        <v>0</v>
      </c>
      <c r="F355" s="60">
        <f>SUM(D355:E355)</f>
        <v>76866</v>
      </c>
      <c r="G355"/>
      <c r="H355"/>
      <c r="K355"/>
    </row>
    <row r="356" spans="1:11" s="44" customFormat="1" ht="15">
      <c r="A356" s="41"/>
      <c r="B356" s="54"/>
      <c r="C356" s="26" t="s">
        <v>159</v>
      </c>
      <c r="D356" s="56">
        <f>SUM(D358)</f>
        <v>76866</v>
      </c>
      <c r="E356" s="56"/>
      <c r="F356" s="56">
        <f>SUM(D356:E356)</f>
        <v>76866</v>
      </c>
      <c r="G356"/>
      <c r="H356"/>
      <c r="K356"/>
    </row>
    <row r="357" spans="1:11" s="44" customFormat="1" ht="15">
      <c r="A357" s="41"/>
      <c r="B357" s="54"/>
      <c r="C357" s="26"/>
      <c r="D357" s="56"/>
      <c r="E357" s="56"/>
      <c r="F357" s="56"/>
      <c r="G357"/>
      <c r="H357"/>
      <c r="K357"/>
    </row>
    <row r="358" spans="1:11" s="44" customFormat="1" ht="14.25">
      <c r="A358" s="41"/>
      <c r="B358" s="54"/>
      <c r="C358" s="59" t="s">
        <v>160</v>
      </c>
      <c r="D358" s="60">
        <f>SUM(D359:D359)</f>
        <v>76866</v>
      </c>
      <c r="E358" s="60">
        <f>SUM(E359:E359)</f>
        <v>0</v>
      </c>
      <c r="F358" s="60">
        <f>SUM(D358:E358)</f>
        <v>76866</v>
      </c>
      <c r="G358"/>
      <c r="H358"/>
      <c r="K358"/>
    </row>
    <row r="359" spans="1:11" s="44" customFormat="1" ht="15">
      <c r="A359" s="41"/>
      <c r="B359" s="54"/>
      <c r="C359" s="26" t="s">
        <v>161</v>
      </c>
      <c r="D359" s="56">
        <v>76866</v>
      </c>
      <c r="E359" s="56"/>
      <c r="F359" s="56">
        <f>SUM(D359:E359)</f>
        <v>76866</v>
      </c>
      <c r="G359"/>
      <c r="H359"/>
      <c r="K359"/>
    </row>
    <row r="360" spans="1:11" s="44" customFormat="1" ht="15">
      <c r="A360" s="41"/>
      <c r="B360" s="54"/>
      <c r="C360" s="26"/>
      <c r="D360" s="56"/>
      <c r="E360" s="56"/>
      <c r="F360" s="56"/>
      <c r="G360"/>
      <c r="H360"/>
      <c r="K360"/>
    </row>
    <row r="361" spans="1:11" s="44" customFormat="1" ht="15">
      <c r="A361" s="65" t="s">
        <v>290</v>
      </c>
      <c r="B361" s="63" t="s">
        <v>291</v>
      </c>
      <c r="C361" s="24" t="s">
        <v>292</v>
      </c>
      <c r="D361" s="64"/>
      <c r="E361" s="64"/>
      <c r="F361" s="64"/>
      <c r="G361"/>
      <c r="H361"/>
      <c r="K361"/>
    </row>
    <row r="362" spans="1:11" s="44" customFormat="1" ht="14.25">
      <c r="A362" s="41"/>
      <c r="B362" s="54"/>
      <c r="C362" s="59" t="s">
        <v>158</v>
      </c>
      <c r="D362" s="60">
        <f>SUM(D363)</f>
        <v>34064</v>
      </c>
      <c r="E362" s="60">
        <f>SUM(E363)</f>
        <v>0</v>
      </c>
      <c r="F362" s="60">
        <f>SUM(D362:E362)</f>
        <v>34064</v>
      </c>
      <c r="G362"/>
      <c r="H362"/>
      <c r="K362"/>
    </row>
    <row r="363" spans="1:11" s="44" customFormat="1" ht="15">
      <c r="A363" s="41"/>
      <c r="B363" s="54"/>
      <c r="C363" s="26" t="s">
        <v>159</v>
      </c>
      <c r="D363" s="56">
        <f>SUM(D365)</f>
        <v>34064</v>
      </c>
      <c r="E363" s="56"/>
      <c r="F363" s="56">
        <f>SUM(D363:E363)</f>
        <v>34064</v>
      </c>
      <c r="G363"/>
      <c r="H363"/>
      <c r="K363"/>
    </row>
    <row r="364" spans="1:11" s="44" customFormat="1" ht="15">
      <c r="A364" s="41"/>
      <c r="B364" s="54"/>
      <c r="C364" s="26"/>
      <c r="D364" s="56"/>
      <c r="E364" s="56"/>
      <c r="F364" s="56"/>
      <c r="G364"/>
      <c r="H364"/>
      <c r="K364"/>
    </row>
    <row r="365" spans="1:11" s="44" customFormat="1" ht="14.25">
      <c r="A365" s="41"/>
      <c r="B365" s="54"/>
      <c r="C365" s="59" t="s">
        <v>160</v>
      </c>
      <c r="D365" s="60">
        <f>SUM(D366:D366)</f>
        <v>34064</v>
      </c>
      <c r="E365" s="60">
        <f>SUM(E366:E366)</f>
        <v>0</v>
      </c>
      <c r="F365" s="60">
        <f>SUM(D365:E365)</f>
        <v>34064</v>
      </c>
      <c r="G365"/>
      <c r="H365"/>
      <c r="K365"/>
    </row>
    <row r="366" spans="1:11" s="44" customFormat="1" ht="15">
      <c r="A366" s="41"/>
      <c r="B366" s="54"/>
      <c r="C366" s="26" t="s">
        <v>161</v>
      </c>
      <c r="D366" s="56">
        <f>26842+7222</f>
        <v>34064</v>
      </c>
      <c r="E366" s="56"/>
      <c r="F366" s="56">
        <f>SUM(D366:E366)</f>
        <v>34064</v>
      </c>
      <c r="G366"/>
      <c r="H366"/>
      <c r="K366"/>
    </row>
    <row r="367" spans="1:11" s="44" customFormat="1" ht="15">
      <c r="A367" s="41"/>
      <c r="B367" s="54"/>
      <c r="C367" s="26"/>
      <c r="D367" s="56"/>
      <c r="E367" s="56"/>
      <c r="F367" s="56"/>
      <c r="G367"/>
      <c r="H367"/>
      <c r="K367"/>
    </row>
    <row r="368" spans="1:11" s="44" customFormat="1" ht="15">
      <c r="A368" s="65" t="s">
        <v>293</v>
      </c>
      <c r="B368" s="63" t="s">
        <v>294</v>
      </c>
      <c r="C368" s="24" t="s">
        <v>295</v>
      </c>
      <c r="D368" s="64"/>
      <c r="E368" s="64"/>
      <c r="F368" s="64"/>
      <c r="G368"/>
      <c r="H368"/>
      <c r="K368"/>
    </row>
    <row r="369" spans="1:11" s="44" customFormat="1" ht="14.25">
      <c r="A369" s="41"/>
      <c r="B369" s="54"/>
      <c r="C369" s="59" t="s">
        <v>158</v>
      </c>
      <c r="D369" s="60">
        <f>SUM(D370)</f>
        <v>344510</v>
      </c>
      <c r="E369" s="60">
        <f>SUM(E370)</f>
        <v>0</v>
      </c>
      <c r="F369" s="60">
        <f>SUM(D369:E369)</f>
        <v>344510</v>
      </c>
      <c r="G369"/>
      <c r="H369"/>
      <c r="K369"/>
    </row>
    <row r="370" spans="1:11" s="44" customFormat="1" ht="15">
      <c r="A370" s="41"/>
      <c r="B370" s="54"/>
      <c r="C370" s="26" t="s">
        <v>159</v>
      </c>
      <c r="D370" s="56">
        <f>SUM(D372)</f>
        <v>344510</v>
      </c>
      <c r="E370" s="56"/>
      <c r="F370" s="56">
        <f>SUM(D370:E370)</f>
        <v>344510</v>
      </c>
      <c r="G370"/>
      <c r="H370"/>
      <c r="K370"/>
    </row>
    <row r="371" spans="1:11" s="44" customFormat="1" ht="15">
      <c r="A371" s="41"/>
      <c r="B371" s="54"/>
      <c r="C371" s="26"/>
      <c r="D371" s="56"/>
      <c r="E371" s="56"/>
      <c r="F371" s="56"/>
      <c r="G371"/>
      <c r="H371"/>
      <c r="K371"/>
    </row>
    <row r="372" spans="1:11" s="44" customFormat="1" ht="14.25">
      <c r="A372" s="41"/>
      <c r="B372" s="54"/>
      <c r="C372" s="59" t="s">
        <v>160</v>
      </c>
      <c r="D372" s="60">
        <f>SUM(D373:D373)</f>
        <v>344510</v>
      </c>
      <c r="E372" s="60">
        <f>SUM(E373:E373)</f>
        <v>0</v>
      </c>
      <c r="F372" s="60">
        <f>SUM(D372:E372)</f>
        <v>344510</v>
      </c>
      <c r="G372"/>
      <c r="H372"/>
      <c r="K372"/>
    </row>
    <row r="373" spans="1:11" s="44" customFormat="1" ht="15">
      <c r="A373" s="41"/>
      <c r="B373" s="54"/>
      <c r="C373" s="26" t="s">
        <v>161</v>
      </c>
      <c r="D373" s="56">
        <v>344510</v>
      </c>
      <c r="E373" s="56"/>
      <c r="F373" s="56">
        <f>SUM(D373:E373)</f>
        <v>344510</v>
      </c>
      <c r="G373"/>
      <c r="H373"/>
      <c r="K373"/>
    </row>
    <row r="374" spans="1:11" s="44" customFormat="1" ht="15">
      <c r="A374" s="41"/>
      <c r="B374" s="54"/>
      <c r="C374" s="26"/>
      <c r="D374" s="56"/>
      <c r="E374" s="56"/>
      <c r="F374" s="56"/>
      <c r="G374"/>
      <c r="H374"/>
      <c r="K374"/>
    </row>
    <row r="375" spans="1:11" s="44" customFormat="1" ht="15">
      <c r="A375" s="65" t="s">
        <v>296</v>
      </c>
      <c r="B375" s="63" t="s">
        <v>297</v>
      </c>
      <c r="C375" s="24" t="s">
        <v>298</v>
      </c>
      <c r="D375" s="64"/>
      <c r="E375" s="64"/>
      <c r="F375" s="64"/>
      <c r="G375"/>
      <c r="H375"/>
      <c r="K375"/>
    </row>
    <row r="376" spans="1:11" s="44" customFormat="1" ht="14.25">
      <c r="A376" s="41"/>
      <c r="B376" s="54"/>
      <c r="C376" s="59" t="s">
        <v>158</v>
      </c>
      <c r="D376" s="60">
        <f>SUM(D377,D379:D380)</f>
        <v>1269580</v>
      </c>
      <c r="E376" s="60">
        <f>SUM(E377,E379:E380)</f>
        <v>42488</v>
      </c>
      <c r="F376" s="60">
        <f>SUM(D376:E376)</f>
        <v>1312068</v>
      </c>
      <c r="G376"/>
      <c r="H376"/>
      <c r="K376"/>
    </row>
    <row r="377" spans="1:11" s="44" customFormat="1" ht="15">
      <c r="A377" s="41"/>
      <c r="B377" s="54"/>
      <c r="C377" s="26" t="s">
        <v>159</v>
      </c>
      <c r="D377" s="56">
        <f>SUM(D382)</f>
        <v>1269580</v>
      </c>
      <c r="E377" s="56"/>
      <c r="F377" s="56">
        <f>SUM(D377:E377)</f>
        <v>1269580</v>
      </c>
      <c r="G377"/>
      <c r="H377"/>
      <c r="K377"/>
    </row>
    <row r="378" spans="1:11" s="44" customFormat="1" ht="15">
      <c r="A378" s="41"/>
      <c r="B378" s="54"/>
      <c r="C378" s="26" t="s">
        <v>299</v>
      </c>
      <c r="D378" s="56">
        <v>97813</v>
      </c>
      <c r="E378" s="56"/>
      <c r="F378" s="56">
        <f>SUM(D378:E378)</f>
        <v>97813</v>
      </c>
      <c r="G378"/>
      <c r="H378"/>
      <c r="K378"/>
    </row>
    <row r="379" spans="1:11" s="44" customFormat="1" ht="15">
      <c r="A379" s="41"/>
      <c r="B379" s="54"/>
      <c r="C379" s="26" t="s">
        <v>282</v>
      </c>
      <c r="D379" s="56"/>
      <c r="E379" s="56">
        <v>41846</v>
      </c>
      <c r="F379" s="56">
        <f>SUM(D379:E379)</f>
        <v>41846</v>
      </c>
      <c r="G379"/>
      <c r="H379"/>
      <c r="K379"/>
    </row>
    <row r="380" spans="1:11" s="44" customFormat="1" ht="15">
      <c r="A380" s="41"/>
      <c r="B380" s="54"/>
      <c r="C380" s="26" t="s">
        <v>251</v>
      </c>
      <c r="D380" s="56"/>
      <c r="E380" s="56">
        <v>642</v>
      </c>
      <c r="F380" s="56">
        <f>SUM(D380:E380)</f>
        <v>642</v>
      </c>
      <c r="G380"/>
      <c r="H380"/>
      <c r="K380"/>
    </row>
    <row r="381" spans="1:11" s="44" customFormat="1" ht="15">
      <c r="A381" s="41"/>
      <c r="B381" s="54"/>
      <c r="C381" s="26"/>
      <c r="D381" s="56"/>
      <c r="E381" s="56"/>
      <c r="F381" s="56"/>
      <c r="G381"/>
      <c r="H381"/>
      <c r="K381"/>
    </row>
    <row r="382" spans="1:11" s="44" customFormat="1" ht="14.25">
      <c r="A382" s="41"/>
      <c r="B382" s="54"/>
      <c r="C382" s="59" t="s">
        <v>160</v>
      </c>
      <c r="D382" s="60">
        <f>SUM(D383:D384)</f>
        <v>1269580</v>
      </c>
      <c r="E382" s="60">
        <f>SUM(E383:E383)</f>
        <v>42488</v>
      </c>
      <c r="F382" s="60">
        <f>SUM(D382:E382)</f>
        <v>1312068</v>
      </c>
      <c r="G382"/>
      <c r="H382"/>
      <c r="K382"/>
    </row>
    <row r="383" spans="1:11" s="44" customFormat="1" ht="15">
      <c r="A383" s="41"/>
      <c r="B383" s="54"/>
      <c r="C383" s="26" t="s">
        <v>161</v>
      </c>
      <c r="D383" s="56">
        <v>1264580</v>
      </c>
      <c r="E383" s="56">
        <v>42488</v>
      </c>
      <c r="F383" s="56">
        <f>SUM(D383:E383)</f>
        <v>1307068</v>
      </c>
      <c r="G383"/>
      <c r="H383"/>
      <c r="K383"/>
    </row>
    <row r="384" spans="1:11" s="44" customFormat="1" ht="15">
      <c r="A384" s="41"/>
      <c r="B384" s="54"/>
      <c r="C384" s="26" t="s">
        <v>168</v>
      </c>
      <c r="D384" s="56">
        <v>5000</v>
      </c>
      <c r="E384" s="56"/>
      <c r="F384" s="56">
        <f>SUM(D384:E384)</f>
        <v>5000</v>
      </c>
      <c r="G384"/>
      <c r="H384"/>
      <c r="K384"/>
    </row>
    <row r="385" spans="1:11" s="44" customFormat="1" ht="15">
      <c r="A385" s="41"/>
      <c r="B385" s="54"/>
      <c r="C385" s="26"/>
      <c r="D385" s="56"/>
      <c r="E385" s="56"/>
      <c r="F385" s="56"/>
      <c r="G385"/>
      <c r="H385"/>
      <c r="K385"/>
    </row>
    <row r="386" spans="1:11" s="44" customFormat="1" ht="15">
      <c r="A386" s="65" t="s">
        <v>300</v>
      </c>
      <c r="B386" s="63" t="s">
        <v>301</v>
      </c>
      <c r="C386" s="24" t="s">
        <v>302</v>
      </c>
      <c r="D386" s="64"/>
      <c r="E386" s="64"/>
      <c r="F386" s="64"/>
      <c r="G386"/>
      <c r="H386"/>
      <c r="K386"/>
    </row>
    <row r="387" spans="1:11" s="44" customFormat="1" ht="14.25">
      <c r="A387" s="41"/>
      <c r="B387" s="54"/>
      <c r="C387" s="59" t="s">
        <v>158</v>
      </c>
      <c r="D387" s="60">
        <f>SUM(D388:D390)</f>
        <v>89158</v>
      </c>
      <c r="E387" s="60">
        <f>SUM(E388:E390)</f>
        <v>13570</v>
      </c>
      <c r="F387" s="60">
        <f>SUM(D387:E387)</f>
        <v>102728</v>
      </c>
      <c r="G387"/>
      <c r="H387"/>
      <c r="K387"/>
    </row>
    <row r="388" spans="1:11" s="44" customFormat="1" ht="15">
      <c r="A388" s="41"/>
      <c r="B388" s="54"/>
      <c r="C388" s="26" t="s">
        <v>159</v>
      </c>
      <c r="D388" s="56">
        <f>SUM(D392)</f>
        <v>89158</v>
      </c>
      <c r="E388" s="56"/>
      <c r="F388" s="56">
        <f>SUM(D388:E388)</f>
        <v>89158</v>
      </c>
      <c r="G388"/>
      <c r="H388"/>
      <c r="K388"/>
    </row>
    <row r="389" spans="1:11" s="44" customFormat="1" ht="15">
      <c r="A389" s="41"/>
      <c r="B389" s="54"/>
      <c r="C389" s="26" t="s">
        <v>282</v>
      </c>
      <c r="D389" s="56"/>
      <c r="E389" s="56">
        <v>12770</v>
      </c>
      <c r="F389" s="56">
        <f>SUM(D389:E389)</f>
        <v>12770</v>
      </c>
      <c r="G389"/>
      <c r="H389"/>
      <c r="K389"/>
    </row>
    <row r="390" spans="1:11" s="44" customFormat="1" ht="15">
      <c r="A390" s="41"/>
      <c r="B390" s="54"/>
      <c r="C390" s="26" t="s">
        <v>251</v>
      </c>
      <c r="D390" s="56"/>
      <c r="E390" s="56">
        <v>800</v>
      </c>
      <c r="F390" s="56">
        <f>SUM(D390:E390)</f>
        <v>800</v>
      </c>
      <c r="G390"/>
      <c r="H390"/>
      <c r="K390"/>
    </row>
    <row r="391" spans="1:11" s="44" customFormat="1" ht="15">
      <c r="A391" s="41"/>
      <c r="B391" s="54"/>
      <c r="C391" s="26"/>
      <c r="D391" s="56"/>
      <c r="E391" s="56"/>
      <c r="F391" s="56"/>
      <c r="G391"/>
      <c r="H391"/>
      <c r="K391"/>
    </row>
    <row r="392" spans="1:11" s="44" customFormat="1" ht="14.25">
      <c r="A392" s="41"/>
      <c r="B392" s="54"/>
      <c r="C392" s="59" t="s">
        <v>160</v>
      </c>
      <c r="D392" s="60">
        <f>SUM(D393:D393)</f>
        <v>89158</v>
      </c>
      <c r="E392" s="60">
        <f>SUM(E393:E393)</f>
        <v>13570</v>
      </c>
      <c r="F392" s="60">
        <f>SUM(D392:E392)</f>
        <v>102728</v>
      </c>
      <c r="G392"/>
      <c r="H392"/>
      <c r="K392"/>
    </row>
    <row r="393" spans="1:11" s="44" customFormat="1" ht="15">
      <c r="A393" s="41"/>
      <c r="B393" s="54"/>
      <c r="C393" s="26" t="s">
        <v>161</v>
      </c>
      <c r="D393" s="56">
        <v>89158</v>
      </c>
      <c r="E393" s="56">
        <v>13570</v>
      </c>
      <c r="F393" s="56">
        <f>SUM(D393:E393)</f>
        <v>102728</v>
      </c>
      <c r="G393"/>
      <c r="H393"/>
      <c r="K393"/>
    </row>
    <row r="394" spans="1:11" s="44" customFormat="1" ht="15">
      <c r="A394" s="41"/>
      <c r="B394" s="54"/>
      <c r="C394" s="26"/>
      <c r="D394" s="56"/>
      <c r="E394" s="56"/>
      <c r="F394" s="56"/>
      <c r="G394"/>
      <c r="H394"/>
      <c r="K394"/>
    </row>
    <row r="395" spans="1:11" s="44" customFormat="1" ht="15">
      <c r="A395" s="65" t="s">
        <v>303</v>
      </c>
      <c r="B395" s="63" t="s">
        <v>304</v>
      </c>
      <c r="C395" s="24" t="s">
        <v>305</v>
      </c>
      <c r="D395" s="64"/>
      <c r="E395" s="64"/>
      <c r="F395" s="64"/>
      <c r="G395"/>
      <c r="H395"/>
      <c r="K395"/>
    </row>
    <row r="396" spans="1:11" s="44" customFormat="1" ht="14.25">
      <c r="A396" s="41"/>
      <c r="B396" s="54"/>
      <c r="C396" s="59" t="s">
        <v>158</v>
      </c>
      <c r="D396" s="60">
        <f>SUM(D397:D399)</f>
        <v>583153</v>
      </c>
      <c r="E396" s="60">
        <f>SUM(E397:E399)</f>
        <v>102500</v>
      </c>
      <c r="F396" s="60">
        <f>SUM(D396:E396)</f>
        <v>685653</v>
      </c>
      <c r="G396"/>
      <c r="H396"/>
      <c r="K396"/>
    </row>
    <row r="397" spans="1:11" s="44" customFormat="1" ht="15">
      <c r="A397" s="41"/>
      <c r="B397" s="54"/>
      <c r="C397" s="26" t="s">
        <v>159</v>
      </c>
      <c r="D397" s="56">
        <f>SUM(D401)</f>
        <v>583153</v>
      </c>
      <c r="E397" s="56"/>
      <c r="F397" s="56">
        <f>SUM(D397:E397)</f>
        <v>583153</v>
      </c>
      <c r="G397"/>
      <c r="H397"/>
      <c r="K397"/>
    </row>
    <row r="398" spans="1:11" s="44" customFormat="1" ht="15">
      <c r="A398" s="41"/>
      <c r="B398" s="54"/>
      <c r="C398" s="26" t="s">
        <v>282</v>
      </c>
      <c r="D398" s="56"/>
      <c r="E398" s="56">
        <v>100000</v>
      </c>
      <c r="F398" s="56">
        <f>SUM(D398:E398)</f>
        <v>100000</v>
      </c>
      <c r="G398"/>
      <c r="H398"/>
      <c r="K398"/>
    </row>
    <row r="399" spans="1:11" s="44" customFormat="1" ht="15">
      <c r="A399" s="41"/>
      <c r="B399" s="54"/>
      <c r="C399" s="26" t="s">
        <v>251</v>
      </c>
      <c r="D399" s="56"/>
      <c r="E399" s="56">
        <v>2500</v>
      </c>
      <c r="F399" s="56">
        <f>SUM(D399:E399)</f>
        <v>2500</v>
      </c>
      <c r="G399"/>
      <c r="H399"/>
      <c r="K399"/>
    </row>
    <row r="400" spans="1:11" s="44" customFormat="1" ht="15">
      <c r="A400" s="41"/>
      <c r="B400" s="54"/>
      <c r="C400" s="26"/>
      <c r="D400" s="56"/>
      <c r="E400" s="56"/>
      <c r="F400" s="56"/>
      <c r="G400"/>
      <c r="H400"/>
      <c r="K400"/>
    </row>
    <row r="401" spans="1:11" s="44" customFormat="1" ht="14.25">
      <c r="A401" s="41"/>
      <c r="B401" s="54"/>
      <c r="C401" s="59" t="s">
        <v>160</v>
      </c>
      <c r="D401" s="60">
        <f>SUM(D402:D403)</f>
        <v>583153</v>
      </c>
      <c r="E401" s="60">
        <f>SUM(E402:E403)</f>
        <v>102500</v>
      </c>
      <c r="F401" s="60">
        <f>SUM(D401:E401)</f>
        <v>685653</v>
      </c>
      <c r="G401"/>
      <c r="H401"/>
      <c r="K401"/>
    </row>
    <row r="402" spans="1:11" s="44" customFormat="1" ht="15">
      <c r="A402" s="41"/>
      <c r="B402" s="54"/>
      <c r="C402" s="26" t="s">
        <v>161</v>
      </c>
      <c r="D402" s="56">
        <v>573638</v>
      </c>
      <c r="E402" s="56">
        <v>102500</v>
      </c>
      <c r="F402" s="56">
        <f>SUM(D402:E402)</f>
        <v>676138</v>
      </c>
      <c r="G402"/>
      <c r="H402"/>
      <c r="K402"/>
    </row>
    <row r="403" spans="1:11" s="44" customFormat="1" ht="15">
      <c r="A403" s="41"/>
      <c r="B403" s="54"/>
      <c r="C403" s="26" t="s">
        <v>168</v>
      </c>
      <c r="D403" s="56">
        <v>9515</v>
      </c>
      <c r="E403" s="56"/>
      <c r="F403" s="56">
        <f>SUM(D403:E403)</f>
        <v>9515</v>
      </c>
      <c r="G403"/>
      <c r="H403"/>
      <c r="K403"/>
    </row>
    <row r="404" spans="1:11" s="44" customFormat="1" ht="15">
      <c r="A404" s="41"/>
      <c r="B404" s="54"/>
      <c r="C404" s="26"/>
      <c r="D404" s="56"/>
      <c r="E404" s="56"/>
      <c r="F404" s="56"/>
      <c r="G404"/>
      <c r="H404"/>
      <c r="K404"/>
    </row>
    <row r="405" spans="1:11" s="44" customFormat="1" ht="15">
      <c r="A405" s="65" t="s">
        <v>306</v>
      </c>
      <c r="B405" s="63" t="s">
        <v>209</v>
      </c>
      <c r="C405" s="24" t="s">
        <v>210</v>
      </c>
      <c r="D405" s="64"/>
      <c r="E405" s="64"/>
      <c r="F405" s="64"/>
      <c r="G405"/>
      <c r="H405"/>
      <c r="K405"/>
    </row>
    <row r="406" spans="1:11" s="44" customFormat="1" ht="14.25">
      <c r="A406" s="41"/>
      <c r="B406" s="54"/>
      <c r="C406" s="59" t="s">
        <v>158</v>
      </c>
      <c r="D406" s="60">
        <f>SUM(D407:D407)</f>
        <v>16617</v>
      </c>
      <c r="E406" s="60">
        <f>SUM(E407:E407)</f>
        <v>0</v>
      </c>
      <c r="F406" s="60">
        <f>SUM(D406:E406)</f>
        <v>16617</v>
      </c>
      <c r="G406"/>
      <c r="H406"/>
      <c r="K406"/>
    </row>
    <row r="407" spans="1:11" s="44" customFormat="1" ht="15">
      <c r="A407" s="41"/>
      <c r="B407" s="54"/>
      <c r="C407" s="26" t="s">
        <v>159</v>
      </c>
      <c r="D407" s="56">
        <f>SUM(D409)</f>
        <v>16617</v>
      </c>
      <c r="E407" s="56"/>
      <c r="F407" s="56">
        <f>SUM(D407:E407)</f>
        <v>16617</v>
      </c>
      <c r="G407"/>
      <c r="H407"/>
      <c r="K407"/>
    </row>
    <row r="408" spans="1:11" s="44" customFormat="1" ht="15">
      <c r="A408" s="41"/>
      <c r="B408" s="54"/>
      <c r="C408" s="26"/>
      <c r="D408" s="56"/>
      <c r="E408" s="56"/>
      <c r="F408" s="56"/>
      <c r="G408"/>
      <c r="H408"/>
      <c r="K408"/>
    </row>
    <row r="409" spans="1:11" s="44" customFormat="1" ht="14.25">
      <c r="A409" s="41"/>
      <c r="B409" s="54"/>
      <c r="C409" s="59" t="s">
        <v>160</v>
      </c>
      <c r="D409" s="60">
        <f>SUM(D410:D411)</f>
        <v>16617</v>
      </c>
      <c r="E409" s="60">
        <f>SUM(E410:E411)</f>
        <v>0</v>
      </c>
      <c r="F409" s="60">
        <f>SUM(D409:E409)</f>
        <v>16617</v>
      </c>
      <c r="G409"/>
      <c r="H409"/>
      <c r="K409"/>
    </row>
    <row r="410" spans="1:11" s="44" customFormat="1" ht="15">
      <c r="A410" s="41"/>
      <c r="B410" s="54"/>
      <c r="C410" s="26" t="s">
        <v>161</v>
      </c>
      <c r="D410" s="56">
        <v>16617</v>
      </c>
      <c r="E410" s="56"/>
      <c r="F410" s="56">
        <f>SUM(D410:E410)</f>
        <v>16617</v>
      </c>
      <c r="G410"/>
      <c r="H410"/>
      <c r="K410"/>
    </row>
    <row r="411" spans="1:11" s="44" customFormat="1" ht="15">
      <c r="A411" s="41"/>
      <c r="B411" s="54"/>
      <c r="C411" s="26"/>
      <c r="D411" s="56"/>
      <c r="E411" s="56"/>
      <c r="F411" s="56"/>
      <c r="G411"/>
      <c r="H411"/>
      <c r="K411"/>
    </row>
    <row r="412" spans="1:11" s="44" customFormat="1" ht="15">
      <c r="A412" s="65" t="s">
        <v>307</v>
      </c>
      <c r="B412" s="63" t="s">
        <v>234</v>
      </c>
      <c r="C412" s="24" t="s">
        <v>308</v>
      </c>
      <c r="D412" s="64"/>
      <c r="E412" s="64"/>
      <c r="F412" s="64"/>
      <c r="G412"/>
      <c r="H412"/>
      <c r="K412"/>
    </row>
    <row r="413" spans="1:11" s="44" customFormat="1" ht="14.25">
      <c r="A413" s="41"/>
      <c r="B413" s="54"/>
      <c r="C413" s="59" t="s">
        <v>158</v>
      </c>
      <c r="D413" s="60">
        <f>SUM(D414:D414)</f>
        <v>559525</v>
      </c>
      <c r="E413" s="60">
        <f>SUM(E414:E414)</f>
        <v>0</v>
      </c>
      <c r="F413" s="60">
        <f>SUM(D413:E413)</f>
        <v>559525</v>
      </c>
      <c r="G413"/>
      <c r="H413"/>
      <c r="K413"/>
    </row>
    <row r="414" spans="1:11" s="44" customFormat="1" ht="15">
      <c r="A414" s="41"/>
      <c r="B414" s="54"/>
      <c r="C414" s="26" t="s">
        <v>159</v>
      </c>
      <c r="D414" s="56">
        <f>SUM(D416)</f>
        <v>559525</v>
      </c>
      <c r="E414" s="56"/>
      <c r="F414" s="56">
        <f>SUM(D414:E414)</f>
        <v>559525</v>
      </c>
      <c r="G414"/>
      <c r="H414"/>
      <c r="K414"/>
    </row>
    <row r="415" spans="1:11" s="44" customFormat="1" ht="15">
      <c r="A415" s="41"/>
      <c r="B415" s="54"/>
      <c r="C415" s="26"/>
      <c r="D415" s="56"/>
      <c r="E415" s="56"/>
      <c r="F415" s="56"/>
      <c r="G415"/>
      <c r="H415"/>
      <c r="K415"/>
    </row>
    <row r="416" spans="1:11" s="44" customFormat="1" ht="14.25">
      <c r="A416" s="41"/>
      <c r="B416" s="54"/>
      <c r="C416" s="59" t="s">
        <v>160</v>
      </c>
      <c r="D416" s="60">
        <f>SUM(D417:D417)</f>
        <v>559525</v>
      </c>
      <c r="E416" s="60">
        <f>SUM(E417:E417)</f>
        <v>0</v>
      </c>
      <c r="F416" s="60">
        <f>SUM(D416:E416)</f>
        <v>559525</v>
      </c>
      <c r="G416"/>
      <c r="H416"/>
      <c r="K416"/>
    </row>
    <row r="417" spans="1:11" s="44" customFormat="1" ht="15">
      <c r="A417" s="41"/>
      <c r="B417" s="54"/>
      <c r="C417" s="26" t="s">
        <v>161</v>
      </c>
      <c r="D417" s="56">
        <f>100000+459525</f>
        <v>559525</v>
      </c>
      <c r="E417" s="56"/>
      <c r="F417" s="56">
        <f>SUM(D417:E417)</f>
        <v>559525</v>
      </c>
      <c r="G417"/>
      <c r="H417"/>
      <c r="K417"/>
    </row>
    <row r="418" spans="1:11" s="44" customFormat="1" ht="15">
      <c r="A418" s="41"/>
      <c r="B418" s="54"/>
      <c r="C418" s="26"/>
      <c r="D418" s="56"/>
      <c r="E418" s="56"/>
      <c r="F418" s="56"/>
      <c r="G418"/>
      <c r="H418"/>
      <c r="K418"/>
    </row>
    <row r="419" spans="1:11" s="44" customFormat="1" ht="15">
      <c r="A419" s="65" t="s">
        <v>309</v>
      </c>
      <c r="B419" s="63" t="s">
        <v>310</v>
      </c>
      <c r="C419" s="24" t="s">
        <v>311</v>
      </c>
      <c r="D419" s="64"/>
      <c r="E419" s="64"/>
      <c r="F419" s="64"/>
      <c r="G419"/>
      <c r="H419"/>
      <c r="K419"/>
    </row>
    <row r="420" spans="1:11" s="44" customFormat="1" ht="14.25">
      <c r="A420" s="41"/>
      <c r="B420" s="54"/>
      <c r="C420" s="59" t="s">
        <v>158</v>
      </c>
      <c r="D420" s="60">
        <f>SUM(D421:D421)</f>
        <v>53573</v>
      </c>
      <c r="E420" s="60">
        <f>SUM(E421:E421)</f>
        <v>0</v>
      </c>
      <c r="F420" s="60">
        <f>SUM(D420:E420)</f>
        <v>53573</v>
      </c>
      <c r="G420"/>
      <c r="H420"/>
      <c r="K420"/>
    </row>
    <row r="421" spans="1:11" s="44" customFormat="1" ht="15">
      <c r="A421" s="41"/>
      <c r="B421" s="54"/>
      <c r="C421" s="26" t="s">
        <v>159</v>
      </c>
      <c r="D421" s="56">
        <f>SUM(D423)</f>
        <v>53573</v>
      </c>
      <c r="E421" s="56"/>
      <c r="F421" s="56">
        <f>SUM(D421:E421)</f>
        <v>53573</v>
      </c>
      <c r="G421"/>
      <c r="H421"/>
      <c r="K421"/>
    </row>
    <row r="422" spans="1:11" s="44" customFormat="1" ht="15">
      <c r="A422" s="41"/>
      <c r="B422" s="54"/>
      <c r="C422" s="26"/>
      <c r="D422" s="56"/>
      <c r="E422" s="56"/>
      <c r="F422" s="56"/>
      <c r="G422"/>
      <c r="H422"/>
      <c r="K422"/>
    </row>
    <row r="423" spans="1:11" s="44" customFormat="1" ht="14.25">
      <c r="A423" s="41"/>
      <c r="B423" s="54"/>
      <c r="C423" s="59" t="s">
        <v>160</v>
      </c>
      <c r="D423" s="60">
        <f>SUM(D424:D424)</f>
        <v>53573</v>
      </c>
      <c r="E423" s="60">
        <f>SUM(E424:E424)</f>
        <v>0</v>
      </c>
      <c r="F423" s="60">
        <f>SUM(D423:E423)</f>
        <v>53573</v>
      </c>
      <c r="G423"/>
      <c r="H423"/>
      <c r="K423"/>
    </row>
    <row r="424" spans="1:11" s="44" customFormat="1" ht="15">
      <c r="A424" s="41"/>
      <c r="B424" s="54"/>
      <c r="C424" s="26" t="s">
        <v>161</v>
      </c>
      <c r="D424" s="56">
        <v>53573</v>
      </c>
      <c r="E424" s="56"/>
      <c r="F424" s="56">
        <f>SUM(D424:E424)</f>
        <v>53573</v>
      </c>
      <c r="G424"/>
      <c r="H424"/>
      <c r="K424"/>
    </row>
    <row r="425" spans="1:11" s="44" customFormat="1" ht="15">
      <c r="A425" s="41"/>
      <c r="B425" s="54"/>
      <c r="C425" s="26"/>
      <c r="D425" s="56"/>
      <c r="E425" s="56"/>
      <c r="F425" s="56"/>
      <c r="G425"/>
      <c r="H425"/>
      <c r="K425"/>
    </row>
    <row r="426" spans="1:11" s="44" customFormat="1" ht="15">
      <c r="A426" s="65" t="s">
        <v>312</v>
      </c>
      <c r="B426" s="63" t="s">
        <v>313</v>
      </c>
      <c r="C426" s="24" t="s">
        <v>314</v>
      </c>
      <c r="D426" s="64"/>
      <c r="E426" s="64"/>
      <c r="F426" s="64"/>
      <c r="G426"/>
      <c r="H426"/>
      <c r="K426"/>
    </row>
    <row r="427" spans="1:11" s="44" customFormat="1" ht="14.25">
      <c r="A427" s="41"/>
      <c r="B427" s="54"/>
      <c r="C427" s="59" t="s">
        <v>158</v>
      </c>
      <c r="D427" s="60">
        <f>SUM(D428:D428)</f>
        <v>5752</v>
      </c>
      <c r="E427" s="60">
        <f>SUM(E428:E428)</f>
        <v>0</v>
      </c>
      <c r="F427" s="60">
        <f>SUM(D427:E427)</f>
        <v>5752</v>
      </c>
      <c r="G427"/>
      <c r="H427"/>
      <c r="K427"/>
    </row>
    <row r="428" spans="1:11" s="44" customFormat="1" ht="15">
      <c r="A428" s="41"/>
      <c r="B428" s="54"/>
      <c r="C428" s="26" t="s">
        <v>159</v>
      </c>
      <c r="D428" s="56">
        <f>SUM(D430)</f>
        <v>5752</v>
      </c>
      <c r="E428" s="56"/>
      <c r="F428" s="56">
        <f>SUM(D428:E428)</f>
        <v>5752</v>
      </c>
      <c r="G428"/>
      <c r="H428"/>
      <c r="K428"/>
    </row>
    <row r="429" spans="1:11" s="44" customFormat="1" ht="15">
      <c r="A429" s="41"/>
      <c r="B429" s="54"/>
      <c r="C429" s="26"/>
      <c r="D429" s="56"/>
      <c r="E429" s="56"/>
      <c r="F429" s="56"/>
      <c r="G429"/>
      <c r="H429"/>
      <c r="K429"/>
    </row>
    <row r="430" spans="1:11" s="44" customFormat="1" ht="14.25">
      <c r="A430" s="41"/>
      <c r="B430" s="54"/>
      <c r="C430" s="59" t="s">
        <v>160</v>
      </c>
      <c r="D430" s="60">
        <f>SUM(D431:D431)</f>
        <v>5752</v>
      </c>
      <c r="E430" s="60">
        <f>SUM(E431:E431)</f>
        <v>0</v>
      </c>
      <c r="F430" s="60">
        <f>SUM(D430:E430)</f>
        <v>5752</v>
      </c>
      <c r="G430"/>
      <c r="H430"/>
      <c r="K430"/>
    </row>
    <row r="431" spans="1:11" s="44" customFormat="1" ht="15">
      <c r="A431" s="41"/>
      <c r="B431" s="54"/>
      <c r="C431" s="26" t="s">
        <v>161</v>
      </c>
      <c r="D431" s="56">
        <v>5752</v>
      </c>
      <c r="E431" s="56"/>
      <c r="F431" s="56">
        <f>SUM(D431:E431)</f>
        <v>5752</v>
      </c>
      <c r="G431"/>
      <c r="H431"/>
      <c r="K431"/>
    </row>
    <row r="432" spans="1:11" s="44" customFormat="1" ht="15">
      <c r="A432" s="41"/>
      <c r="B432" s="54"/>
      <c r="C432" s="26"/>
      <c r="D432" s="56"/>
      <c r="E432" s="56"/>
      <c r="F432" s="56"/>
      <c r="G432"/>
      <c r="H432"/>
      <c r="K432"/>
    </row>
    <row r="433" spans="1:11" s="44" customFormat="1" ht="15">
      <c r="A433" s="65" t="s">
        <v>315</v>
      </c>
      <c r="B433" s="63" t="s">
        <v>178</v>
      </c>
      <c r="C433" s="24" t="s">
        <v>179</v>
      </c>
      <c r="D433" s="64"/>
      <c r="E433" s="64"/>
      <c r="F433" s="64"/>
      <c r="G433"/>
      <c r="H433"/>
      <c r="K433"/>
    </row>
    <row r="434" spans="1:11" s="44" customFormat="1" ht="14.25">
      <c r="A434" s="41"/>
      <c r="B434" s="54"/>
      <c r="C434" s="59" t="s">
        <v>158</v>
      </c>
      <c r="D434" s="60">
        <f>SUM(D435:D435)</f>
        <v>143801</v>
      </c>
      <c r="E434" s="60">
        <f>SUM(E435:E435)</f>
        <v>0</v>
      </c>
      <c r="F434" s="60">
        <f>SUM(D434:E434)</f>
        <v>143801</v>
      </c>
      <c r="G434"/>
      <c r="H434"/>
      <c r="K434"/>
    </row>
    <row r="435" spans="1:11" s="44" customFormat="1" ht="15">
      <c r="A435" s="41"/>
      <c r="B435" s="54"/>
      <c r="C435" s="26" t="s">
        <v>159</v>
      </c>
      <c r="D435" s="56">
        <f>SUM(D437)</f>
        <v>143801</v>
      </c>
      <c r="E435" s="56"/>
      <c r="F435" s="56">
        <f>SUM(D435:E435)</f>
        <v>143801</v>
      </c>
      <c r="G435"/>
      <c r="H435"/>
      <c r="K435"/>
    </row>
    <row r="436" spans="1:11" s="44" customFormat="1" ht="15">
      <c r="A436" s="41"/>
      <c r="B436" s="54"/>
      <c r="C436" s="26"/>
      <c r="D436" s="56"/>
      <c r="E436" s="56"/>
      <c r="F436" s="56"/>
      <c r="G436"/>
      <c r="H436"/>
      <c r="K436"/>
    </row>
    <row r="437" spans="1:11" s="44" customFormat="1" ht="14.25">
      <c r="A437" s="41"/>
      <c r="B437" s="54"/>
      <c r="C437" s="59" t="s">
        <v>160</v>
      </c>
      <c r="D437" s="60">
        <f>SUM(D438:D438)</f>
        <v>143801</v>
      </c>
      <c r="E437" s="60">
        <f>SUM(E438:E438)</f>
        <v>0</v>
      </c>
      <c r="F437" s="60">
        <f>SUM(D437:E437)</f>
        <v>143801</v>
      </c>
      <c r="G437"/>
      <c r="H437"/>
      <c r="K437"/>
    </row>
    <row r="438" spans="1:11" s="44" customFormat="1" ht="15">
      <c r="A438" s="41"/>
      <c r="B438" s="54"/>
      <c r="C438" s="26" t="s">
        <v>161</v>
      </c>
      <c r="D438" s="56">
        <f>19173+124628</f>
        <v>143801</v>
      </c>
      <c r="E438" s="56"/>
      <c r="F438" s="56">
        <f>SUM(D438:E438)</f>
        <v>143801</v>
      </c>
      <c r="G438"/>
      <c r="H438"/>
      <c r="K438"/>
    </row>
    <row r="439" spans="1:11" s="44" customFormat="1" ht="15">
      <c r="A439" s="41"/>
      <c r="B439" s="54"/>
      <c r="C439" s="26"/>
      <c r="D439" s="56"/>
      <c r="E439" s="56"/>
      <c r="F439" s="56"/>
      <c r="G439"/>
      <c r="H439"/>
      <c r="K439"/>
    </row>
    <row r="440" spans="1:11" s="44" customFormat="1" ht="14.25">
      <c r="A440" s="57" t="s">
        <v>316</v>
      </c>
      <c r="B440" s="58"/>
      <c r="C440" s="59" t="s">
        <v>317</v>
      </c>
      <c r="D440" s="56"/>
      <c r="E440" s="56"/>
      <c r="F440" s="56"/>
      <c r="G440"/>
      <c r="H440"/>
      <c r="K440"/>
    </row>
    <row r="441" spans="1:11" s="44" customFormat="1" ht="14.25">
      <c r="A441" s="41"/>
      <c r="B441" s="54"/>
      <c r="C441" s="59" t="s">
        <v>152</v>
      </c>
      <c r="D441" s="60">
        <f>SUM(D447,D456,D464,D474,D484,D495,D504,D511,D518,D525,D534,D542,D549,D557,D565)</f>
        <v>18442077</v>
      </c>
      <c r="E441" s="60">
        <f>SUM(E447,E456,E464,E474,E484,E495,E504,E511,E518,E525,E534,E542,E549,E557,E565)</f>
        <v>15720070</v>
      </c>
      <c r="F441" s="60">
        <f>SUM(D441:E441)</f>
        <v>34162147</v>
      </c>
      <c r="G441"/>
      <c r="H441"/>
      <c r="K441"/>
    </row>
    <row r="442" spans="1:11" s="44" customFormat="1" ht="14.25">
      <c r="A442" s="41"/>
      <c r="B442" s="54"/>
      <c r="C442" s="59" t="s">
        <v>153</v>
      </c>
      <c r="D442" s="60">
        <f>SUM(D443:D444)</f>
        <v>18442077</v>
      </c>
      <c r="E442" s="60">
        <f>SUM(E443:E444)</f>
        <v>15720070</v>
      </c>
      <c r="F442" s="60">
        <f>SUM(D442:E442)</f>
        <v>34162147</v>
      </c>
      <c r="G442"/>
      <c r="H442"/>
      <c r="K442"/>
    </row>
    <row r="443" spans="1:11" s="44" customFormat="1" ht="15">
      <c r="A443" s="41"/>
      <c r="B443" s="54"/>
      <c r="C443" s="26" t="s">
        <v>147</v>
      </c>
      <c r="D443" s="56">
        <f>SUMIF($C$440:$C$570,$C$451,D$440:D$570)</f>
        <v>13859136</v>
      </c>
      <c r="E443" s="56">
        <f>SUMIF($C$440:$C$570,$C$451,E$440:E$570)</f>
        <v>449123</v>
      </c>
      <c r="F443" s="56">
        <f>SUM(D443:E443)</f>
        <v>14308259</v>
      </c>
      <c r="G443"/>
      <c r="H443"/>
      <c r="K443"/>
    </row>
    <row r="444" spans="1:11" s="44" customFormat="1" ht="15">
      <c r="A444" s="41"/>
      <c r="B444" s="54"/>
      <c r="C444" s="26" t="s">
        <v>148</v>
      </c>
      <c r="D444" s="56">
        <f>SUMIF($C$440:$C$570,$C$452,D$440:D$570)</f>
        <v>4582941</v>
      </c>
      <c r="E444" s="56">
        <f>SUMIF($C$440:$C$570,$C$452,E$440:E$570)</f>
        <v>15270947</v>
      </c>
      <c r="F444" s="56">
        <f>SUM(D444:E444)</f>
        <v>19853888</v>
      </c>
      <c r="G444"/>
      <c r="H444"/>
      <c r="K444"/>
    </row>
    <row r="445" spans="1:11" s="44" customFormat="1" ht="14.25">
      <c r="A445" s="57" t="s">
        <v>318</v>
      </c>
      <c r="B445" s="54"/>
      <c r="C445" s="59" t="s">
        <v>8</v>
      </c>
      <c r="D445" s="60">
        <f>SUM(D450)</f>
        <v>489701</v>
      </c>
      <c r="E445" s="60">
        <f>SUM(E450)</f>
        <v>0</v>
      </c>
      <c r="F445" s="60">
        <f>SUM(D445:E445)</f>
        <v>489701</v>
      </c>
      <c r="G445"/>
      <c r="H445"/>
      <c r="K445"/>
    </row>
    <row r="446" spans="1:11" s="44" customFormat="1" ht="15">
      <c r="A446" s="65" t="s">
        <v>319</v>
      </c>
      <c r="B446" s="63" t="s">
        <v>166</v>
      </c>
      <c r="C446" s="24" t="s">
        <v>199</v>
      </c>
      <c r="D446" s="64"/>
      <c r="E446" s="64"/>
      <c r="F446" s="64"/>
      <c r="G446"/>
      <c r="H446"/>
      <c r="K446"/>
    </row>
    <row r="447" spans="1:11" s="44" customFormat="1" ht="14.25">
      <c r="A447" s="41"/>
      <c r="B447" s="54"/>
      <c r="C447" s="59" t="s">
        <v>158</v>
      </c>
      <c r="D447" s="60">
        <f>SUM(D448)</f>
        <v>489701</v>
      </c>
      <c r="E447" s="60">
        <f>SUM(E448)</f>
        <v>0</v>
      </c>
      <c r="F447" s="60">
        <f>SUM(D447:E447)</f>
        <v>489701</v>
      </c>
      <c r="G447"/>
      <c r="H447"/>
      <c r="K447"/>
    </row>
    <row r="448" spans="1:11" s="44" customFormat="1" ht="15">
      <c r="A448" s="41"/>
      <c r="B448" s="54"/>
      <c r="C448" s="26" t="s">
        <v>159</v>
      </c>
      <c r="D448" s="56">
        <f>SUM(D450)</f>
        <v>489701</v>
      </c>
      <c r="E448" s="56"/>
      <c r="F448" s="56">
        <f>SUM(D448:E448)</f>
        <v>489701</v>
      </c>
      <c r="G448"/>
      <c r="H448"/>
      <c r="K448"/>
    </row>
    <row r="449" spans="1:11" s="44" customFormat="1" ht="15">
      <c r="A449" s="41"/>
      <c r="B449" s="54"/>
      <c r="C449" s="26"/>
      <c r="D449" s="56"/>
      <c r="E449" s="56"/>
      <c r="F449" s="56"/>
      <c r="G449"/>
      <c r="H449"/>
      <c r="K449"/>
    </row>
    <row r="450" spans="1:11" s="44" customFormat="1" ht="14.25">
      <c r="A450" s="41"/>
      <c r="B450" s="54"/>
      <c r="C450" s="59" t="s">
        <v>160</v>
      </c>
      <c r="D450" s="60">
        <f>SUM(D451:D452)</f>
        <v>489701</v>
      </c>
      <c r="E450" s="60">
        <f>SUM(E451:E452)</f>
        <v>0</v>
      </c>
      <c r="F450" s="60">
        <f>SUM(D450:E450)</f>
        <v>489701</v>
      </c>
      <c r="G450"/>
      <c r="H450"/>
      <c r="K450"/>
    </row>
    <row r="451" spans="1:11" s="44" customFormat="1" ht="15">
      <c r="A451" s="41"/>
      <c r="B451" s="54"/>
      <c r="C451" s="26" t="s">
        <v>161</v>
      </c>
      <c r="D451" s="56">
        <f>472524+9290</f>
        <v>481814</v>
      </c>
      <c r="E451" s="56"/>
      <c r="F451" s="56">
        <f>SUM(D451:E451)</f>
        <v>481814</v>
      </c>
      <c r="G451"/>
      <c r="H451"/>
      <c r="K451"/>
    </row>
    <row r="452" spans="1:11" s="44" customFormat="1" ht="15">
      <c r="A452" s="41"/>
      <c r="B452" s="54"/>
      <c r="C452" s="26" t="s">
        <v>168</v>
      </c>
      <c r="D452" s="56">
        <v>7887</v>
      </c>
      <c r="E452" s="56"/>
      <c r="F452" s="56">
        <f>SUM(D452:E452)</f>
        <v>7887</v>
      </c>
      <c r="G452"/>
      <c r="H452"/>
      <c r="K452"/>
    </row>
    <row r="453" spans="1:11" s="44" customFormat="1" ht="15">
      <c r="A453" s="41"/>
      <c r="B453" s="54"/>
      <c r="C453" s="26"/>
      <c r="D453" s="56"/>
      <c r="E453" s="56"/>
      <c r="F453" s="56"/>
      <c r="G453"/>
      <c r="H453"/>
      <c r="K453"/>
    </row>
    <row r="454" spans="1:11" s="44" customFormat="1" ht="14.25">
      <c r="A454" s="57" t="s">
        <v>320</v>
      </c>
      <c r="B454" s="54"/>
      <c r="C454" s="59" t="s">
        <v>10</v>
      </c>
      <c r="D454" s="60">
        <f>SUM(D459)</f>
        <v>13639</v>
      </c>
      <c r="E454" s="60">
        <f>SUM(E459)</f>
        <v>0</v>
      </c>
      <c r="F454" s="60">
        <f>SUM(D454:E454)</f>
        <v>13639</v>
      </c>
      <c r="G454"/>
      <c r="H454"/>
      <c r="K454"/>
    </row>
    <row r="455" spans="1:11" s="44" customFormat="1" ht="15">
      <c r="A455" s="65" t="s">
        <v>321</v>
      </c>
      <c r="B455" s="63" t="s">
        <v>174</v>
      </c>
      <c r="C455" s="24" t="s">
        <v>322</v>
      </c>
      <c r="D455" s="64"/>
      <c r="E455" s="64"/>
      <c r="F455" s="64"/>
      <c r="G455"/>
      <c r="H455"/>
      <c r="K455"/>
    </row>
    <row r="456" spans="1:11" s="44" customFormat="1" ht="14.25">
      <c r="A456" s="41"/>
      <c r="B456" s="54"/>
      <c r="C456" s="59" t="s">
        <v>158</v>
      </c>
      <c r="D456" s="60">
        <f>SUM(D457)</f>
        <v>13639</v>
      </c>
      <c r="E456" s="60">
        <f>SUM(E457)</f>
        <v>0</v>
      </c>
      <c r="F456" s="60">
        <f>SUM(D456:E456)</f>
        <v>13639</v>
      </c>
      <c r="G456"/>
      <c r="H456"/>
      <c r="K456"/>
    </row>
    <row r="457" spans="1:11" s="44" customFormat="1" ht="15">
      <c r="A457" s="41"/>
      <c r="B457" s="54"/>
      <c r="C457" s="26" t="s">
        <v>159</v>
      </c>
      <c r="D457" s="56">
        <f>SUM(D459)</f>
        <v>13639</v>
      </c>
      <c r="E457" s="56"/>
      <c r="F457" s="56">
        <f>SUM(D457:E457)</f>
        <v>13639</v>
      </c>
      <c r="G457"/>
      <c r="H457"/>
      <c r="K457"/>
    </row>
    <row r="458" spans="1:11" s="44" customFormat="1" ht="15">
      <c r="A458" s="41"/>
      <c r="B458" s="54"/>
      <c r="C458" s="26"/>
      <c r="D458" s="56"/>
      <c r="E458" s="56"/>
      <c r="F458" s="56"/>
      <c r="G458"/>
      <c r="H458"/>
      <c r="K458"/>
    </row>
    <row r="459" spans="1:11" s="44" customFormat="1" ht="14.25">
      <c r="A459" s="41"/>
      <c r="B459" s="54"/>
      <c r="C459" s="59" t="s">
        <v>160</v>
      </c>
      <c r="D459" s="60">
        <f>SUM(D460:D460)</f>
        <v>13639</v>
      </c>
      <c r="E459" s="60">
        <f>SUM(E460:E460)</f>
        <v>0</v>
      </c>
      <c r="F459" s="60">
        <f>SUM(D459:E459)</f>
        <v>13639</v>
      </c>
      <c r="G459"/>
      <c r="H459"/>
      <c r="K459"/>
    </row>
    <row r="460" spans="1:11" s="44" customFormat="1" ht="15">
      <c r="A460" s="41"/>
      <c r="B460" s="54"/>
      <c r="C460" s="26" t="s">
        <v>161</v>
      </c>
      <c r="D460" s="56">
        <v>13639</v>
      </c>
      <c r="E460" s="56"/>
      <c r="F460" s="56">
        <f>SUM(D460:E460)</f>
        <v>13639</v>
      </c>
      <c r="G460"/>
      <c r="H460"/>
      <c r="K460"/>
    </row>
    <row r="461" spans="1:11" s="44" customFormat="1" ht="15">
      <c r="A461" s="41"/>
      <c r="B461" s="54"/>
      <c r="C461" s="26"/>
      <c r="D461" s="56"/>
      <c r="E461" s="56"/>
      <c r="F461" s="56"/>
      <c r="G461"/>
      <c r="H461"/>
      <c r="K461"/>
    </row>
    <row r="462" spans="1:11" s="44" customFormat="1" ht="14.25">
      <c r="A462" s="57" t="s">
        <v>323</v>
      </c>
      <c r="B462" s="58"/>
      <c r="C462" s="59" t="s">
        <v>11</v>
      </c>
      <c r="D462" s="60">
        <f>SUM(D469,D479,D489)</f>
        <v>12826461</v>
      </c>
      <c r="E462" s="60">
        <f>SUM(E469,E479,E489)</f>
        <v>15241237</v>
      </c>
      <c r="F462" s="60">
        <f>SUM(D462:E462)</f>
        <v>28067698</v>
      </c>
      <c r="G462"/>
      <c r="H462"/>
      <c r="K462"/>
    </row>
    <row r="463" spans="1:11" s="44" customFormat="1" ht="15">
      <c r="A463" s="65" t="s">
        <v>324</v>
      </c>
      <c r="B463" s="63" t="s">
        <v>325</v>
      </c>
      <c r="C463" s="24" t="s">
        <v>326</v>
      </c>
      <c r="D463" s="64"/>
      <c r="E463" s="64"/>
      <c r="F463" s="64"/>
      <c r="G463"/>
      <c r="H463"/>
      <c r="K463"/>
    </row>
    <row r="464" spans="1:11" s="44" customFormat="1" ht="14.25">
      <c r="A464" s="41"/>
      <c r="B464" s="54"/>
      <c r="C464" s="59" t="s">
        <v>158</v>
      </c>
      <c r="D464" s="60">
        <f>SUM(D465,D467)</f>
        <v>4922056</v>
      </c>
      <c r="E464" s="60">
        <f>SUM(E465:E467)</f>
        <v>13578367</v>
      </c>
      <c r="F464" s="60">
        <f>SUM(D464:E464)</f>
        <v>18500423</v>
      </c>
      <c r="G464"/>
      <c r="H464"/>
      <c r="K464"/>
    </row>
    <row r="465" spans="1:11" s="44" customFormat="1" ht="15">
      <c r="A465" s="41"/>
      <c r="B465" s="54"/>
      <c r="C465" s="26" t="s">
        <v>159</v>
      </c>
      <c r="D465" s="56">
        <f>SUM(D469)</f>
        <v>4922056</v>
      </c>
      <c r="E465" s="56"/>
      <c r="F465" s="56">
        <f>SUM(D465:E465)</f>
        <v>4922056</v>
      </c>
      <c r="G465"/>
      <c r="H465"/>
      <c r="K465"/>
    </row>
    <row r="466" spans="1:11" s="44" customFormat="1" ht="15">
      <c r="A466" s="41"/>
      <c r="B466" s="54"/>
      <c r="C466" s="26" t="s">
        <v>327</v>
      </c>
      <c r="D466" s="56">
        <v>641546</v>
      </c>
      <c r="E466" s="56"/>
      <c r="F466" s="56"/>
      <c r="G466"/>
      <c r="H466"/>
      <c r="K466"/>
    </row>
    <row r="467" spans="1:11" s="44" customFormat="1" ht="15">
      <c r="A467" s="41"/>
      <c r="B467" s="54"/>
      <c r="C467" s="26" t="s">
        <v>328</v>
      </c>
      <c r="D467" s="56"/>
      <c r="E467" s="56">
        <v>13578367</v>
      </c>
      <c r="F467" s="56">
        <f>SUM(D467:E467)</f>
        <v>13578367</v>
      </c>
      <c r="G467"/>
      <c r="H467"/>
      <c r="K467"/>
    </row>
    <row r="468" spans="1:11" s="44" customFormat="1" ht="15">
      <c r="A468" s="41"/>
      <c r="B468" s="54"/>
      <c r="C468" s="26"/>
      <c r="D468" s="56"/>
      <c r="E468" s="56"/>
      <c r="F468" s="56"/>
      <c r="G468"/>
      <c r="H468"/>
      <c r="K468"/>
    </row>
    <row r="469" spans="1:11" s="44" customFormat="1" ht="14.25">
      <c r="A469" s="41"/>
      <c r="B469" s="54"/>
      <c r="C469" s="59" t="s">
        <v>160</v>
      </c>
      <c r="D469" s="60">
        <f>SUM(D470:D471)</f>
        <v>4922056</v>
      </c>
      <c r="E469" s="60">
        <f>SUM(E470:E471)</f>
        <v>13578367</v>
      </c>
      <c r="F469" s="60">
        <f>SUM(D469:E469)</f>
        <v>18500423</v>
      </c>
      <c r="G469"/>
      <c r="H469"/>
      <c r="K469"/>
    </row>
    <row r="470" spans="1:11" s="44" customFormat="1" ht="15">
      <c r="A470" s="41"/>
      <c r="B470" s="54"/>
      <c r="C470" s="26" t="s">
        <v>161</v>
      </c>
      <c r="D470" s="56">
        <v>699154</v>
      </c>
      <c r="E470" s="56"/>
      <c r="F470" s="56">
        <f>SUM(D470:E470)</f>
        <v>699154</v>
      </c>
      <c r="G470"/>
      <c r="H470"/>
      <c r="K470"/>
    </row>
    <row r="471" spans="1:11" s="44" customFormat="1" ht="15">
      <c r="A471" s="41"/>
      <c r="B471" s="54"/>
      <c r="C471" s="26" t="s">
        <v>168</v>
      </c>
      <c r="D471" s="56">
        <v>4222902</v>
      </c>
      <c r="E471" s="56">
        <v>13578367</v>
      </c>
      <c r="F471" s="56">
        <f>SUM(D471:E471)</f>
        <v>17801269</v>
      </c>
      <c r="G471"/>
      <c r="H471"/>
      <c r="K471"/>
    </row>
    <row r="472" spans="1:11" s="44" customFormat="1" ht="15">
      <c r="A472" s="41"/>
      <c r="B472" s="54"/>
      <c r="C472" s="26"/>
      <c r="D472" s="56"/>
      <c r="E472" s="56"/>
      <c r="F472" s="56"/>
      <c r="G472"/>
      <c r="H472"/>
      <c r="K472"/>
    </row>
    <row r="473" spans="1:11" s="44" customFormat="1" ht="15">
      <c r="A473" s="65" t="s">
        <v>329</v>
      </c>
      <c r="B473" s="63" t="s">
        <v>330</v>
      </c>
      <c r="C473" s="24" t="s">
        <v>331</v>
      </c>
      <c r="D473" s="64"/>
      <c r="E473" s="64"/>
      <c r="F473" s="64"/>
      <c r="G473"/>
      <c r="H473"/>
      <c r="K473"/>
    </row>
    <row r="474" spans="1:11" s="44" customFormat="1" ht="14.25">
      <c r="A474" s="41"/>
      <c r="B474" s="54"/>
      <c r="C474" s="59" t="s">
        <v>158</v>
      </c>
      <c r="D474" s="60">
        <f>SUM(D475:D477)</f>
        <v>515845</v>
      </c>
      <c r="E474" s="60">
        <f>SUM(E475:E477)</f>
        <v>234051</v>
      </c>
      <c r="F474" s="60">
        <f>SUM(D474:E474)</f>
        <v>749896</v>
      </c>
      <c r="G474"/>
      <c r="H474"/>
      <c r="K474"/>
    </row>
    <row r="475" spans="1:11" s="44" customFormat="1" ht="15">
      <c r="A475" s="41"/>
      <c r="B475" s="54"/>
      <c r="C475" s="26" t="s">
        <v>159</v>
      </c>
      <c r="D475" s="56">
        <f>SUM(D479)</f>
        <v>515845</v>
      </c>
      <c r="E475" s="56"/>
      <c r="F475" s="56">
        <f>SUM(D475:E475)</f>
        <v>515845</v>
      </c>
      <c r="G475"/>
      <c r="H475"/>
      <c r="K475"/>
    </row>
    <row r="476" spans="1:11" s="44" customFormat="1" ht="15">
      <c r="A476" s="41"/>
      <c r="B476" s="54"/>
      <c r="C476" s="26" t="s">
        <v>332</v>
      </c>
      <c r="D476" s="56"/>
      <c r="E476" s="56">
        <v>34981</v>
      </c>
      <c r="F476" s="56">
        <f>SUM(D476:E476)</f>
        <v>34981</v>
      </c>
      <c r="G476"/>
      <c r="H476"/>
      <c r="K476"/>
    </row>
    <row r="477" spans="1:11" s="44" customFormat="1" ht="15">
      <c r="A477" s="41"/>
      <c r="B477" s="54"/>
      <c r="C477" s="26" t="s">
        <v>328</v>
      </c>
      <c r="D477" s="56"/>
      <c r="E477" s="56">
        <v>199070</v>
      </c>
      <c r="F477" s="56">
        <f>SUM(D477:E477)</f>
        <v>199070</v>
      </c>
      <c r="G477"/>
      <c r="H477"/>
      <c r="K477"/>
    </row>
    <row r="478" spans="1:11" s="44" customFormat="1" ht="15">
      <c r="A478" s="41"/>
      <c r="B478" s="54"/>
      <c r="C478" s="26"/>
      <c r="D478" s="56"/>
      <c r="E478" s="56"/>
      <c r="F478" s="56"/>
      <c r="G478"/>
      <c r="H478"/>
      <c r="K478"/>
    </row>
    <row r="479" spans="1:11" s="44" customFormat="1" ht="14.25">
      <c r="A479" s="41"/>
      <c r="B479" s="54"/>
      <c r="C479" s="59" t="s">
        <v>160</v>
      </c>
      <c r="D479" s="60">
        <f>SUM(D480:D481)</f>
        <v>515845</v>
      </c>
      <c r="E479" s="60">
        <f>SUM(E480:E481)</f>
        <v>234051</v>
      </c>
      <c r="F479" s="60">
        <f>SUM(D479:E479)</f>
        <v>749896</v>
      </c>
      <c r="G479"/>
      <c r="H479"/>
      <c r="K479"/>
    </row>
    <row r="480" spans="1:11" s="44" customFormat="1" ht="15">
      <c r="A480" s="41"/>
      <c r="B480" s="54"/>
      <c r="C480" s="26" t="s">
        <v>161</v>
      </c>
      <c r="D480" s="56">
        <v>410925</v>
      </c>
      <c r="E480" s="56">
        <v>34981</v>
      </c>
      <c r="F480" s="56">
        <f>SUM(D480:E480)</f>
        <v>445906</v>
      </c>
      <c r="G480"/>
      <c r="H480"/>
      <c r="K480"/>
    </row>
    <row r="481" spans="1:11" s="44" customFormat="1" ht="15">
      <c r="A481" s="41"/>
      <c r="B481" s="54"/>
      <c r="C481" s="26" t="s">
        <v>168</v>
      </c>
      <c r="D481" s="56">
        <v>104920</v>
      </c>
      <c r="E481" s="56">
        <v>199070</v>
      </c>
      <c r="F481" s="56">
        <f>SUM(D481:E481)</f>
        <v>303990</v>
      </c>
      <c r="G481"/>
      <c r="H481"/>
      <c r="K481"/>
    </row>
    <row r="482" spans="1:11" s="44" customFormat="1" ht="15">
      <c r="A482" s="41"/>
      <c r="B482" s="54"/>
      <c r="C482" s="26"/>
      <c r="D482" s="56"/>
      <c r="E482" s="56"/>
      <c r="F482" s="56"/>
      <c r="G482"/>
      <c r="H482"/>
      <c r="K482"/>
    </row>
    <row r="483" spans="1:11" s="44" customFormat="1" ht="15">
      <c r="A483" s="65" t="s">
        <v>333</v>
      </c>
      <c r="B483" s="63" t="s">
        <v>334</v>
      </c>
      <c r="C483" s="24" t="s">
        <v>335</v>
      </c>
      <c r="D483" s="64"/>
      <c r="E483" s="64"/>
      <c r="F483" s="64"/>
      <c r="G483"/>
      <c r="H483"/>
      <c r="K483"/>
    </row>
    <row r="484" spans="1:11" s="44" customFormat="1" ht="14.25">
      <c r="A484" s="41"/>
      <c r="B484" s="54"/>
      <c r="C484" s="59" t="s">
        <v>158</v>
      </c>
      <c r="D484" s="60">
        <f>SUM(D485:D485)</f>
        <v>7388560</v>
      </c>
      <c r="E484" s="60">
        <f>SUM(E485:E487)</f>
        <v>1428819</v>
      </c>
      <c r="F484" s="60">
        <f>SUM(D484:E484)</f>
        <v>8817379</v>
      </c>
      <c r="G484"/>
      <c r="H484"/>
      <c r="K484"/>
    </row>
    <row r="485" spans="1:11" s="44" customFormat="1" ht="15">
      <c r="A485" s="41"/>
      <c r="B485" s="54"/>
      <c r="C485" s="26" t="s">
        <v>159</v>
      </c>
      <c r="D485" s="56">
        <f>SUM(D489)</f>
        <v>7388560</v>
      </c>
      <c r="E485" s="56"/>
      <c r="F485" s="56">
        <f>SUM(D485:E485)</f>
        <v>7388560</v>
      </c>
      <c r="G485"/>
      <c r="H485"/>
      <c r="K485"/>
    </row>
    <row r="486" spans="1:11" s="44" customFormat="1" ht="15">
      <c r="A486" s="41"/>
      <c r="B486" s="54"/>
      <c r="C486" s="26" t="s">
        <v>336</v>
      </c>
      <c r="D486" s="56"/>
      <c r="E486" s="56">
        <v>1296395</v>
      </c>
      <c r="F486" s="56">
        <f>SUM(D486:E486)</f>
        <v>1296395</v>
      </c>
      <c r="G486"/>
      <c r="H486"/>
      <c r="K486"/>
    </row>
    <row r="487" spans="1:11" s="44" customFormat="1" ht="15">
      <c r="A487" s="41"/>
      <c r="B487" s="54"/>
      <c r="C487" s="26" t="s">
        <v>332</v>
      </c>
      <c r="D487" s="56"/>
      <c r="E487" s="56">
        <v>132424</v>
      </c>
      <c r="F487" s="56">
        <f>SUM(D487:E487)</f>
        <v>132424</v>
      </c>
      <c r="G487"/>
      <c r="H487"/>
      <c r="K487"/>
    </row>
    <row r="488" spans="1:11" s="44" customFormat="1" ht="15">
      <c r="A488" s="41"/>
      <c r="B488" s="54"/>
      <c r="C488" s="26"/>
      <c r="D488" s="56"/>
      <c r="E488" s="56"/>
      <c r="F488" s="56"/>
      <c r="G488"/>
      <c r="H488"/>
      <c r="K488"/>
    </row>
    <row r="489" spans="1:11" s="44" customFormat="1" ht="14.25">
      <c r="A489" s="41"/>
      <c r="B489" s="54"/>
      <c r="C489" s="59" t="s">
        <v>160</v>
      </c>
      <c r="D489" s="60">
        <f>SUM(D490:D491)</f>
        <v>7388560</v>
      </c>
      <c r="E489" s="60">
        <f>SUM(E490:E491)</f>
        <v>1428819</v>
      </c>
      <c r="F489" s="60">
        <f>SUM(D489:E489)</f>
        <v>8817379</v>
      </c>
      <c r="G489"/>
      <c r="H489"/>
      <c r="K489"/>
    </row>
    <row r="490" spans="1:11" s="44" customFormat="1" ht="15">
      <c r="A490" s="41"/>
      <c r="B490" s="54"/>
      <c r="C490" s="26" t="s">
        <v>161</v>
      </c>
      <c r="D490" s="56">
        <v>7358560</v>
      </c>
      <c r="E490" s="56">
        <v>132424</v>
      </c>
      <c r="F490" s="56">
        <f>SUM(D490:E490)</f>
        <v>7490984</v>
      </c>
      <c r="G490"/>
      <c r="H490"/>
      <c r="K490"/>
    </row>
    <row r="491" spans="1:11" s="44" customFormat="1" ht="15">
      <c r="A491" s="41"/>
      <c r="B491" s="54"/>
      <c r="C491" s="26" t="s">
        <v>168</v>
      </c>
      <c r="D491" s="56">
        <v>30000</v>
      </c>
      <c r="E491" s="56">
        <v>1296395</v>
      </c>
      <c r="F491" s="56">
        <f>SUM(D491:E491)</f>
        <v>1326395</v>
      </c>
      <c r="G491"/>
      <c r="H491"/>
      <c r="K491"/>
    </row>
    <row r="492" spans="1:11" s="44" customFormat="1" ht="15">
      <c r="A492" s="41"/>
      <c r="B492" s="54"/>
      <c r="C492" s="26"/>
      <c r="D492" s="56"/>
      <c r="E492" s="56"/>
      <c r="F492" s="56"/>
      <c r="G492"/>
      <c r="H492"/>
      <c r="K492"/>
    </row>
    <row r="493" spans="1:11" s="44" customFormat="1" ht="14.25">
      <c r="A493" s="57" t="s">
        <v>337</v>
      </c>
      <c r="B493" s="58"/>
      <c r="C493" s="59" t="s">
        <v>12</v>
      </c>
      <c r="D493" s="60">
        <f>SUM(D500,D507,D514,D521,D529,D537)</f>
        <v>3650415</v>
      </c>
      <c r="E493" s="60">
        <f>SUM(E500,E507,E514,E521,E529,E537)</f>
        <v>478833</v>
      </c>
      <c r="F493" s="60">
        <f>SUM(D493:E493)</f>
        <v>4129248</v>
      </c>
      <c r="G493"/>
      <c r="H493"/>
      <c r="K493"/>
    </row>
    <row r="494" spans="1:11" s="44" customFormat="1" ht="15">
      <c r="A494" s="65" t="s">
        <v>338</v>
      </c>
      <c r="B494" s="63" t="s">
        <v>339</v>
      </c>
      <c r="C494" s="24" t="s">
        <v>340</v>
      </c>
      <c r="D494" s="64"/>
      <c r="E494" s="64"/>
      <c r="F494" s="64"/>
      <c r="G494"/>
      <c r="H494"/>
      <c r="K494"/>
    </row>
    <row r="495" spans="1:11" s="44" customFormat="1" ht="14.25">
      <c r="A495" s="41"/>
      <c r="B495" s="54"/>
      <c r="C495" s="59" t="s">
        <v>158</v>
      </c>
      <c r="D495" s="60">
        <f>SUM(D496:D498)</f>
        <v>120010</v>
      </c>
      <c r="E495" s="60">
        <f>SUM(E496:E498)</f>
        <v>281718</v>
      </c>
      <c r="F495" s="60">
        <f>SUM(D495:E495)</f>
        <v>401728</v>
      </c>
      <c r="G495"/>
      <c r="H495"/>
      <c r="K495"/>
    </row>
    <row r="496" spans="1:6" s="44" customFormat="1" ht="15">
      <c r="A496" s="41"/>
      <c r="B496" s="54"/>
      <c r="C496" s="26" t="s">
        <v>159</v>
      </c>
      <c r="D496" s="56">
        <f>SUM(D500)</f>
        <v>120010</v>
      </c>
      <c r="E496" s="56"/>
      <c r="F496" s="56">
        <f>SUM(D496:E496)</f>
        <v>120010</v>
      </c>
    </row>
    <row r="497" spans="1:6" s="44" customFormat="1" ht="15">
      <c r="A497" s="41"/>
      <c r="B497" s="54"/>
      <c r="C497" s="26" t="s">
        <v>341</v>
      </c>
      <c r="D497" s="56"/>
      <c r="E497" s="56">
        <v>257657</v>
      </c>
      <c r="F497" s="56">
        <f>SUM(D497:E497)</f>
        <v>257657</v>
      </c>
    </row>
    <row r="498" spans="1:6" ht="15">
      <c r="A498" s="41"/>
      <c r="B498" s="54"/>
      <c r="C498" s="26" t="s">
        <v>332</v>
      </c>
      <c r="D498" s="56"/>
      <c r="E498" s="56">
        <v>24061</v>
      </c>
      <c r="F498" s="56">
        <f>SUM(D498:E498)</f>
        <v>24061</v>
      </c>
    </row>
    <row r="499" spans="1:6" ht="15">
      <c r="A499" s="41"/>
      <c r="B499" s="54"/>
      <c r="C499" s="26"/>
      <c r="D499" s="56"/>
      <c r="E499" s="56"/>
      <c r="F499" s="56"/>
    </row>
    <row r="500" spans="1:6" ht="14.25">
      <c r="A500" s="41"/>
      <c r="B500" s="54"/>
      <c r="C500" s="59" t="s">
        <v>160</v>
      </c>
      <c r="D500" s="60">
        <f>SUM(D501:D501)</f>
        <v>120010</v>
      </c>
      <c r="E500" s="60">
        <f>SUM(E501:E501)</f>
        <v>281718</v>
      </c>
      <c r="F500" s="60">
        <f>SUM(D500:E500)</f>
        <v>401728</v>
      </c>
    </row>
    <row r="501" spans="1:6" ht="15">
      <c r="A501" s="41"/>
      <c r="B501" s="54"/>
      <c r="C501" s="26" t="s">
        <v>161</v>
      </c>
      <c r="D501" s="56">
        <v>120010</v>
      </c>
      <c r="E501" s="56">
        <v>281718</v>
      </c>
      <c r="F501" s="56">
        <f>SUM(D501:E501)</f>
        <v>401728</v>
      </c>
    </row>
    <row r="502" spans="1:6" ht="15">
      <c r="A502" s="41"/>
      <c r="B502" s="54"/>
      <c r="C502" s="26"/>
      <c r="D502" s="56"/>
      <c r="E502" s="56"/>
      <c r="F502" s="56"/>
    </row>
    <row r="503" spans="1:6" ht="15">
      <c r="A503" s="65" t="s">
        <v>342</v>
      </c>
      <c r="B503" s="63" t="s">
        <v>339</v>
      </c>
      <c r="C503" s="24" t="s">
        <v>343</v>
      </c>
      <c r="D503" s="64"/>
      <c r="E503" s="64"/>
      <c r="F503" s="64"/>
    </row>
    <row r="504" spans="1:6" ht="14.25">
      <c r="A504" s="41"/>
      <c r="B504" s="54"/>
      <c r="C504" s="59" t="s">
        <v>158</v>
      </c>
      <c r="D504" s="60">
        <f>SUM(D505:D505)</f>
        <v>93990</v>
      </c>
      <c r="E504" s="60">
        <f>SUM(E505:E505)</f>
        <v>0</v>
      </c>
      <c r="F504" s="60">
        <f>SUM(D504:E504)</f>
        <v>93990</v>
      </c>
    </row>
    <row r="505" spans="1:6" ht="15">
      <c r="A505" s="41"/>
      <c r="B505" s="54"/>
      <c r="C505" s="26" t="s">
        <v>159</v>
      </c>
      <c r="D505" s="56">
        <f>SUM(D507)</f>
        <v>93990</v>
      </c>
      <c r="E505" s="56"/>
      <c r="F505" s="56">
        <f>SUM(D505:E505)</f>
        <v>93990</v>
      </c>
    </row>
    <row r="506" spans="1:6" ht="15">
      <c r="A506" s="41"/>
      <c r="B506" s="54"/>
      <c r="C506" s="26"/>
      <c r="D506" s="56"/>
      <c r="E506" s="56"/>
      <c r="F506" s="56"/>
    </row>
    <row r="507" spans="1:6" ht="14.25">
      <c r="A507" s="41"/>
      <c r="B507" s="54"/>
      <c r="C507" s="59" t="s">
        <v>160</v>
      </c>
      <c r="D507" s="60">
        <f>SUM(D508:D508)</f>
        <v>93990</v>
      </c>
      <c r="E507" s="60">
        <f>SUM(E508:E508)</f>
        <v>0</v>
      </c>
      <c r="F507" s="60">
        <f>SUM(D507:E507)</f>
        <v>93990</v>
      </c>
    </row>
    <row r="508" spans="1:6" ht="15">
      <c r="A508" s="41"/>
      <c r="B508" s="54"/>
      <c r="C508" s="26" t="s">
        <v>161</v>
      </c>
      <c r="D508" s="56">
        <v>93990</v>
      </c>
      <c r="E508" s="56"/>
      <c r="F508" s="56">
        <f>SUM(D508:E508)</f>
        <v>93990</v>
      </c>
    </row>
    <row r="509" spans="1:6" ht="15">
      <c r="A509" s="41"/>
      <c r="B509" s="54"/>
      <c r="C509" s="26"/>
      <c r="D509" s="56"/>
      <c r="E509" s="56"/>
      <c r="F509" s="56"/>
    </row>
    <row r="510" spans="1:6" ht="15">
      <c r="A510" s="65" t="s">
        <v>344</v>
      </c>
      <c r="B510" s="63" t="s">
        <v>339</v>
      </c>
      <c r="C510" s="24" t="s">
        <v>345</v>
      </c>
      <c r="D510" s="64"/>
      <c r="E510" s="64"/>
      <c r="F510" s="64"/>
    </row>
    <row r="511" spans="1:6" ht="14.25">
      <c r="A511" s="41"/>
      <c r="B511" s="54"/>
      <c r="C511" s="59" t="s">
        <v>158</v>
      </c>
      <c r="D511" s="60">
        <f>SUM(D512)</f>
        <v>2686450</v>
      </c>
      <c r="E511" s="60">
        <f>SUM(E512)</f>
        <v>0</v>
      </c>
      <c r="F511" s="60">
        <f>SUM(D511:E511)</f>
        <v>2686450</v>
      </c>
    </row>
    <row r="512" spans="1:6" ht="15">
      <c r="A512" s="41"/>
      <c r="B512" s="54"/>
      <c r="C512" s="26" t="s">
        <v>159</v>
      </c>
      <c r="D512" s="56">
        <f>SUM(D514)</f>
        <v>2686450</v>
      </c>
      <c r="E512" s="56"/>
      <c r="F512" s="56">
        <f>SUM(D512:E512)</f>
        <v>2686450</v>
      </c>
    </row>
    <row r="513" spans="1:6" ht="15">
      <c r="A513" s="41"/>
      <c r="B513" s="54"/>
      <c r="C513" s="26"/>
      <c r="D513" s="56"/>
      <c r="E513" s="56"/>
      <c r="F513" s="56"/>
    </row>
    <row r="514" spans="1:6" ht="14.25">
      <c r="A514" s="41"/>
      <c r="B514" s="54"/>
      <c r="C514" s="59" t="s">
        <v>160</v>
      </c>
      <c r="D514" s="60">
        <f>SUM(D515:D515)</f>
        <v>2686450</v>
      </c>
      <c r="E514" s="60">
        <f>SUM(E515:E515)</f>
        <v>0</v>
      </c>
      <c r="F514" s="60">
        <f>SUM(D514:E514)</f>
        <v>2686450</v>
      </c>
    </row>
    <row r="515" spans="1:6" ht="15">
      <c r="A515" s="41"/>
      <c r="B515" s="54"/>
      <c r="C515" s="26" t="s">
        <v>161</v>
      </c>
      <c r="D515" s="56">
        <v>2686450</v>
      </c>
      <c r="E515" s="56"/>
      <c r="F515" s="56">
        <f>SUM(D515:E515)</f>
        <v>2686450</v>
      </c>
    </row>
    <row r="516" spans="1:6" ht="15">
      <c r="A516" s="41"/>
      <c r="B516" s="54"/>
      <c r="C516" s="26"/>
      <c r="D516" s="56"/>
      <c r="E516" s="56"/>
      <c r="F516" s="56"/>
    </row>
    <row r="517" spans="1:6" ht="15">
      <c r="A517" s="65" t="s">
        <v>346</v>
      </c>
      <c r="B517" s="63" t="s">
        <v>347</v>
      </c>
      <c r="C517" s="24" t="s">
        <v>348</v>
      </c>
      <c r="D517" s="64"/>
      <c r="E517" s="64"/>
      <c r="F517" s="64"/>
    </row>
    <row r="518" spans="1:6" ht="14.25">
      <c r="A518" s="41"/>
      <c r="B518" s="54"/>
      <c r="C518" s="59" t="s">
        <v>158</v>
      </c>
      <c r="D518" s="60">
        <f>SUM(D519)</f>
        <v>127823</v>
      </c>
      <c r="E518" s="60">
        <f>SUM(E519)</f>
        <v>0</v>
      </c>
      <c r="F518" s="60">
        <f>SUM(D518:E518)</f>
        <v>127823</v>
      </c>
    </row>
    <row r="519" spans="1:6" ht="15">
      <c r="A519" s="41"/>
      <c r="B519" s="54"/>
      <c r="C519" s="26" t="s">
        <v>159</v>
      </c>
      <c r="D519" s="56">
        <f>SUM(D521)</f>
        <v>127823</v>
      </c>
      <c r="E519" s="56"/>
      <c r="F519" s="56">
        <f>SUM(D519:E519)</f>
        <v>127823</v>
      </c>
    </row>
    <row r="520" spans="1:6" ht="15">
      <c r="A520" s="41"/>
      <c r="B520" s="54"/>
      <c r="C520" s="26"/>
      <c r="D520" s="56"/>
      <c r="E520" s="56"/>
      <c r="F520" s="56"/>
    </row>
    <row r="521" spans="1:6" ht="14.25">
      <c r="A521" s="41"/>
      <c r="B521" s="54"/>
      <c r="C521" s="59" t="s">
        <v>160</v>
      </c>
      <c r="D521" s="60">
        <f>SUM(D522:D522)</f>
        <v>127823</v>
      </c>
      <c r="E521" s="60">
        <f>SUM(E522:E522)</f>
        <v>0</v>
      </c>
      <c r="F521" s="60">
        <f>SUM(D521:E521)</f>
        <v>127823</v>
      </c>
    </row>
    <row r="522" spans="1:6" ht="15">
      <c r="A522" s="41"/>
      <c r="B522" s="54"/>
      <c r="C522" s="26" t="s">
        <v>161</v>
      </c>
      <c r="D522" s="56">
        <v>127823</v>
      </c>
      <c r="E522" s="56"/>
      <c r="F522" s="56">
        <f>SUM(D522:E522)</f>
        <v>127823</v>
      </c>
    </row>
    <row r="523" spans="1:6" ht="15">
      <c r="A523" s="41"/>
      <c r="B523" s="54"/>
      <c r="C523" s="26"/>
      <c r="D523" s="56"/>
      <c r="E523" s="56"/>
      <c r="F523" s="56"/>
    </row>
    <row r="524" spans="1:6" ht="15">
      <c r="A524" s="65" t="s">
        <v>349</v>
      </c>
      <c r="B524" s="63" t="s">
        <v>350</v>
      </c>
      <c r="C524" s="24" t="s">
        <v>351</v>
      </c>
      <c r="D524" s="64"/>
      <c r="E524" s="64"/>
      <c r="F524" s="64"/>
    </row>
    <row r="525" spans="1:6" ht="14.25">
      <c r="A525" s="41"/>
      <c r="B525" s="54"/>
      <c r="C525" s="59" t="s">
        <v>158</v>
      </c>
      <c r="D525" s="60">
        <f>SUM(D526:D527)</f>
        <v>588514</v>
      </c>
      <c r="E525" s="60">
        <f>SUM(E526:E527)</f>
        <v>197115</v>
      </c>
      <c r="F525" s="60">
        <f>SUM(D525:E525)</f>
        <v>785629</v>
      </c>
    </row>
    <row r="526" spans="1:6" ht="15">
      <c r="A526" s="41"/>
      <c r="B526" s="54"/>
      <c r="C526" s="26" t="s">
        <v>159</v>
      </c>
      <c r="D526" s="56">
        <f>SUM(D529)</f>
        <v>588514</v>
      </c>
      <c r="E526" s="56"/>
      <c r="F526" s="56">
        <f>SUM(D526:E526)</f>
        <v>588514</v>
      </c>
    </row>
    <row r="527" spans="1:6" ht="15">
      <c r="A527" s="41"/>
      <c r="B527" s="54"/>
      <c r="C527" s="26" t="s">
        <v>328</v>
      </c>
      <c r="D527" s="56"/>
      <c r="E527" s="56">
        <v>197115</v>
      </c>
      <c r="F527" s="56">
        <f>SUM(D527:E527)</f>
        <v>197115</v>
      </c>
    </row>
    <row r="528" spans="1:6" ht="15">
      <c r="A528" s="41"/>
      <c r="B528" s="54"/>
      <c r="C528" s="26"/>
      <c r="D528" s="56"/>
      <c r="E528" s="56"/>
      <c r="F528" s="56"/>
    </row>
    <row r="529" spans="1:6" ht="14.25">
      <c r="A529" s="41"/>
      <c r="B529" s="54"/>
      <c r="C529" s="59" t="s">
        <v>160</v>
      </c>
      <c r="D529" s="60">
        <f>SUM(D530:D531)</f>
        <v>588514</v>
      </c>
      <c r="E529" s="60">
        <f>SUM(E530:E531)</f>
        <v>197115</v>
      </c>
      <c r="F529" s="60">
        <f>SUM(D529:E529)</f>
        <v>785629</v>
      </c>
    </row>
    <row r="530" spans="1:6" ht="15">
      <c r="A530" s="41"/>
      <c r="B530" s="54"/>
      <c r="C530" s="26" t="s">
        <v>161</v>
      </c>
      <c r="D530" s="56">
        <v>491412</v>
      </c>
      <c r="E530" s="56"/>
      <c r="F530" s="56">
        <f>SUM(D530:E530)</f>
        <v>491412</v>
      </c>
    </row>
    <row r="531" spans="1:6" ht="15">
      <c r="A531" s="41"/>
      <c r="B531" s="54"/>
      <c r="C531" s="26" t="s">
        <v>168</v>
      </c>
      <c r="D531" s="56">
        <v>97102</v>
      </c>
      <c r="E531" s="56">
        <v>197115</v>
      </c>
      <c r="F531" s="56">
        <f>SUM(D531:E531)</f>
        <v>294217</v>
      </c>
    </row>
    <row r="532" spans="1:6" ht="15">
      <c r="A532" s="41"/>
      <c r="B532" s="54"/>
      <c r="C532" s="26"/>
      <c r="D532" s="56"/>
      <c r="E532" s="56"/>
      <c r="F532" s="56"/>
    </row>
    <row r="533" spans="1:6" ht="15">
      <c r="A533" s="65" t="s">
        <v>352</v>
      </c>
      <c r="B533" s="63" t="s">
        <v>353</v>
      </c>
      <c r="C533" s="24" t="s">
        <v>354</v>
      </c>
      <c r="D533" s="64"/>
      <c r="E533" s="64"/>
      <c r="F533" s="64"/>
    </row>
    <row r="534" spans="1:6" ht="14.25">
      <c r="A534" s="41"/>
      <c r="B534" s="54"/>
      <c r="C534" s="59" t="s">
        <v>158</v>
      </c>
      <c r="D534" s="60">
        <f>SUM(D535:D535)</f>
        <v>33628</v>
      </c>
      <c r="E534" s="60">
        <f>SUM(E535:E535)</f>
        <v>0</v>
      </c>
      <c r="F534" s="60">
        <f>SUM(D534:E534)</f>
        <v>33628</v>
      </c>
    </row>
    <row r="535" spans="1:6" ht="15">
      <c r="A535" s="41"/>
      <c r="B535" s="54"/>
      <c r="C535" s="26" t="s">
        <v>159</v>
      </c>
      <c r="D535" s="56">
        <f>SUM(D537)</f>
        <v>33628</v>
      </c>
      <c r="E535" s="56"/>
      <c r="F535" s="56">
        <f>SUM(D535:E535)</f>
        <v>33628</v>
      </c>
    </row>
    <row r="536" spans="1:6" ht="15">
      <c r="A536" s="41"/>
      <c r="B536" s="54"/>
      <c r="C536" s="26"/>
      <c r="D536" s="56"/>
      <c r="E536" s="56"/>
      <c r="F536" s="56"/>
    </row>
    <row r="537" spans="1:6" ht="14.25">
      <c r="A537" s="41"/>
      <c r="B537" s="54"/>
      <c r="C537" s="59" t="s">
        <v>160</v>
      </c>
      <c r="D537" s="60">
        <f>SUM(D538:D538)</f>
        <v>33628</v>
      </c>
      <c r="E537" s="60">
        <f>SUM(E538:E538)</f>
        <v>0</v>
      </c>
      <c r="F537" s="60">
        <f>SUM(D537:E537)</f>
        <v>33628</v>
      </c>
    </row>
    <row r="538" spans="1:6" ht="15">
      <c r="A538" s="41"/>
      <c r="B538" s="54"/>
      <c r="C538" s="26" t="s">
        <v>161</v>
      </c>
      <c r="D538" s="56">
        <v>33628</v>
      </c>
      <c r="E538" s="56"/>
      <c r="F538" s="56">
        <f>SUM(D538:E538)</f>
        <v>33628</v>
      </c>
    </row>
    <row r="539" spans="1:6" ht="15">
      <c r="A539" s="41"/>
      <c r="B539" s="54"/>
      <c r="C539" s="26"/>
      <c r="D539" s="56"/>
      <c r="E539" s="56"/>
      <c r="F539" s="56"/>
    </row>
    <row r="540" spans="1:6" ht="14.25">
      <c r="A540" s="57" t="s">
        <v>355</v>
      </c>
      <c r="B540" s="58"/>
      <c r="C540" s="59" t="s">
        <v>13</v>
      </c>
      <c r="D540" s="60">
        <f>SUM(D545,D552,D560,D568)</f>
        <v>1461861</v>
      </c>
      <c r="E540" s="60">
        <f>SUM(E545,E552,E560,E568)</f>
        <v>0</v>
      </c>
      <c r="F540" s="60">
        <f>SUM(D540:E540)</f>
        <v>1461861</v>
      </c>
    </row>
    <row r="541" spans="1:6" ht="15">
      <c r="A541" s="65" t="s">
        <v>356</v>
      </c>
      <c r="B541" s="63" t="s">
        <v>357</v>
      </c>
      <c r="C541" s="24" t="s">
        <v>358</v>
      </c>
      <c r="D541" s="64"/>
      <c r="E541" s="64"/>
      <c r="F541" s="64"/>
    </row>
    <row r="542" spans="1:6" ht="14.25">
      <c r="A542" s="41"/>
      <c r="B542" s="54"/>
      <c r="C542" s="59" t="s">
        <v>158</v>
      </c>
      <c r="D542" s="60">
        <f>SUM(D543:D543)</f>
        <v>3451</v>
      </c>
      <c r="E542" s="60">
        <f>SUM(E543:E543)</f>
        <v>0</v>
      </c>
      <c r="F542" s="60">
        <f>SUM(D542:E542)</f>
        <v>3451</v>
      </c>
    </row>
    <row r="543" spans="1:6" ht="15">
      <c r="A543" s="41"/>
      <c r="B543" s="54"/>
      <c r="C543" s="26" t="s">
        <v>159</v>
      </c>
      <c r="D543" s="56">
        <f>SUM(D545)</f>
        <v>3451</v>
      </c>
      <c r="E543" s="56"/>
      <c r="F543" s="56">
        <f>SUM(D543:E543)</f>
        <v>3451</v>
      </c>
    </row>
    <row r="544" spans="1:6" ht="15">
      <c r="A544" s="41"/>
      <c r="B544" s="54"/>
      <c r="C544" s="26"/>
      <c r="D544" s="56"/>
      <c r="E544" s="56"/>
      <c r="F544" s="56"/>
    </row>
    <row r="545" spans="1:6" ht="14.25">
      <c r="A545" s="41"/>
      <c r="B545" s="54"/>
      <c r="C545" s="59" t="s">
        <v>160</v>
      </c>
      <c r="D545" s="60">
        <f>SUM(D546:D546)</f>
        <v>3451</v>
      </c>
      <c r="E545" s="60">
        <f>SUM(E546:E546)</f>
        <v>0</v>
      </c>
      <c r="F545" s="60">
        <f>SUM(D545:E545)</f>
        <v>3451</v>
      </c>
    </row>
    <row r="546" spans="1:6" ht="15">
      <c r="A546" s="41"/>
      <c r="B546" s="54"/>
      <c r="C546" s="26" t="s">
        <v>161</v>
      </c>
      <c r="D546" s="56">
        <v>3451</v>
      </c>
      <c r="E546" s="56"/>
      <c r="F546" s="56">
        <f>SUM(D546:E546)</f>
        <v>3451</v>
      </c>
    </row>
    <row r="547" spans="1:6" ht="15">
      <c r="A547" s="41"/>
      <c r="B547" s="54"/>
      <c r="C547" s="26"/>
      <c r="D547" s="56"/>
      <c r="E547" s="56"/>
      <c r="F547" s="56"/>
    </row>
    <row r="548" spans="1:6" ht="15">
      <c r="A548" s="65" t="s">
        <v>359</v>
      </c>
      <c r="B548" s="63" t="s">
        <v>360</v>
      </c>
      <c r="C548" s="24" t="s">
        <v>361</v>
      </c>
      <c r="D548" s="64"/>
      <c r="E548" s="64"/>
      <c r="F548" s="64"/>
    </row>
    <row r="549" spans="1:6" ht="14.25">
      <c r="A549" s="41"/>
      <c r="B549" s="54"/>
      <c r="C549" s="59" t="s">
        <v>158</v>
      </c>
      <c r="D549" s="60">
        <f>SUM(D550:D550)</f>
        <v>954100</v>
      </c>
      <c r="E549" s="60">
        <f>SUM(E550:E550)</f>
        <v>0</v>
      </c>
      <c r="F549" s="60">
        <f>SUM(F550:F550)</f>
        <v>954100</v>
      </c>
    </row>
    <row r="550" spans="1:6" ht="15">
      <c r="A550" s="41"/>
      <c r="B550" s="54"/>
      <c r="C550" s="26" t="s">
        <v>159</v>
      </c>
      <c r="D550" s="56">
        <f>SUM(D552)</f>
        <v>954100</v>
      </c>
      <c r="E550" s="56"/>
      <c r="F550" s="56">
        <f>SUM(D550:E550)</f>
        <v>954100</v>
      </c>
    </row>
    <row r="551" spans="1:6" ht="15">
      <c r="A551" s="41"/>
      <c r="B551" s="54"/>
      <c r="C551" s="26"/>
      <c r="D551" s="56"/>
      <c r="E551" s="56"/>
      <c r="F551" s="56"/>
    </row>
    <row r="552" spans="1:6" ht="14.25">
      <c r="A552" s="41"/>
      <c r="B552" s="54"/>
      <c r="C552" s="59" t="s">
        <v>160</v>
      </c>
      <c r="D552" s="60">
        <f>SUM(D553:D554)</f>
        <v>954100</v>
      </c>
      <c r="E552" s="60">
        <f>SUM(E553:E554)</f>
        <v>0</v>
      </c>
      <c r="F552" s="60">
        <f>SUM(D552:E552)</f>
        <v>954100</v>
      </c>
    </row>
    <row r="553" spans="1:6" ht="15">
      <c r="A553" s="41"/>
      <c r="B553" s="54"/>
      <c r="C553" s="26" t="s">
        <v>161</v>
      </c>
      <c r="D553" s="56">
        <v>842100</v>
      </c>
      <c r="E553" s="56"/>
      <c r="F553" s="56">
        <f>SUM(D553:E553)</f>
        <v>842100</v>
      </c>
    </row>
    <row r="554" spans="1:6" ht="15">
      <c r="A554" s="41"/>
      <c r="B554" s="54"/>
      <c r="C554" s="26" t="s">
        <v>168</v>
      </c>
      <c r="D554" s="56">
        <v>112000</v>
      </c>
      <c r="E554" s="56"/>
      <c r="F554" s="56">
        <f>SUM(D554:E554)</f>
        <v>112000</v>
      </c>
    </row>
    <row r="555" spans="1:6" ht="15">
      <c r="A555" s="41"/>
      <c r="B555" s="54"/>
      <c r="C555" s="26"/>
      <c r="D555" s="56"/>
      <c r="E555" s="56"/>
      <c r="F555" s="56"/>
    </row>
    <row r="556" spans="1:6" ht="15">
      <c r="A556" s="65" t="s">
        <v>362</v>
      </c>
      <c r="B556" s="63" t="s">
        <v>363</v>
      </c>
      <c r="C556" s="24" t="s">
        <v>364</v>
      </c>
      <c r="D556" s="64"/>
      <c r="E556" s="64"/>
      <c r="F556" s="64"/>
    </row>
    <row r="557" spans="1:6" ht="14.25">
      <c r="A557" s="41"/>
      <c r="B557" s="54"/>
      <c r="C557" s="59" t="s">
        <v>158</v>
      </c>
      <c r="D557" s="60">
        <f>SUM(D558)</f>
        <v>337090</v>
      </c>
      <c r="E557" s="60">
        <f>SUM(E558)</f>
        <v>0</v>
      </c>
      <c r="F557" s="60">
        <f>SUM(D557:E557)</f>
        <v>337090</v>
      </c>
    </row>
    <row r="558" spans="1:6" ht="15">
      <c r="A558" s="41"/>
      <c r="B558" s="54"/>
      <c r="C558" s="26" t="s">
        <v>159</v>
      </c>
      <c r="D558" s="56">
        <f>SUM(D560)</f>
        <v>337090</v>
      </c>
      <c r="E558" s="56"/>
      <c r="F558" s="56">
        <f>SUM(D558:E558)</f>
        <v>337090</v>
      </c>
    </row>
    <row r="559" spans="1:6" ht="15">
      <c r="A559" s="41"/>
      <c r="B559" s="54"/>
      <c r="C559" s="26"/>
      <c r="D559" s="56"/>
      <c r="E559" s="56"/>
      <c r="F559" s="56"/>
    </row>
    <row r="560" spans="1:6" ht="14.25">
      <c r="A560" s="41"/>
      <c r="B560" s="54"/>
      <c r="C560" s="59" t="s">
        <v>160</v>
      </c>
      <c r="D560" s="60">
        <f>SUM(D561:D562)</f>
        <v>337090</v>
      </c>
      <c r="E560" s="60">
        <f>SUM(E561:E562)</f>
        <v>0</v>
      </c>
      <c r="F560" s="60">
        <f>SUM(D560:E560)</f>
        <v>337090</v>
      </c>
    </row>
    <row r="561" spans="1:6" ht="15">
      <c r="A561" s="41"/>
      <c r="B561" s="54"/>
      <c r="C561" s="26" t="s">
        <v>161</v>
      </c>
      <c r="D561" s="56">
        <v>328960</v>
      </c>
      <c r="E561" s="56"/>
      <c r="F561" s="56">
        <f>SUM(D561:E561)</f>
        <v>328960</v>
      </c>
    </row>
    <row r="562" spans="1:6" ht="15">
      <c r="A562" s="41"/>
      <c r="B562" s="54"/>
      <c r="C562" s="26" t="s">
        <v>168</v>
      </c>
      <c r="D562" s="56">
        <v>8130</v>
      </c>
      <c r="E562" s="56"/>
      <c r="F562" s="56">
        <f>SUM(D562:E562)</f>
        <v>8130</v>
      </c>
    </row>
    <row r="563" spans="1:6" ht="15">
      <c r="A563" s="41"/>
      <c r="B563" s="54"/>
      <c r="C563" s="26"/>
      <c r="D563" s="56"/>
      <c r="E563" s="56"/>
      <c r="F563" s="56"/>
    </row>
    <row r="564" spans="1:6" ht="15">
      <c r="A564" s="65" t="s">
        <v>365</v>
      </c>
      <c r="B564" s="63" t="s">
        <v>366</v>
      </c>
      <c r="C564" s="24" t="s">
        <v>367</v>
      </c>
      <c r="D564" s="64"/>
      <c r="E564" s="64"/>
      <c r="F564" s="64"/>
    </row>
    <row r="565" spans="1:6" ht="14.25">
      <c r="A565" s="41"/>
      <c r="B565" s="54"/>
      <c r="C565" s="59" t="s">
        <v>158</v>
      </c>
      <c r="D565" s="60">
        <f>SUM(D566)</f>
        <v>167220</v>
      </c>
      <c r="E565" s="60">
        <f>SUM(E566)</f>
        <v>0</v>
      </c>
      <c r="F565" s="60">
        <f>SUM(D565:E565)</f>
        <v>167220</v>
      </c>
    </row>
    <row r="566" spans="1:6" ht="15">
      <c r="A566" s="41"/>
      <c r="B566" s="54"/>
      <c r="C566" s="26" t="s">
        <v>159</v>
      </c>
      <c r="D566" s="56">
        <f>SUM(D568)</f>
        <v>167220</v>
      </c>
      <c r="E566" s="56"/>
      <c r="F566" s="56">
        <f>SUM(D566:E566)</f>
        <v>167220</v>
      </c>
    </row>
    <row r="567" spans="1:6" ht="15">
      <c r="A567" s="41"/>
      <c r="B567" s="54"/>
      <c r="C567" s="26"/>
      <c r="D567" s="56"/>
      <c r="E567" s="56"/>
      <c r="F567" s="56"/>
    </row>
    <row r="568" spans="1:6" ht="14.25">
      <c r="A568" s="41"/>
      <c r="B568" s="54"/>
      <c r="C568" s="59" t="s">
        <v>160</v>
      </c>
      <c r="D568" s="60">
        <f>SUM(D569)</f>
        <v>167220</v>
      </c>
      <c r="E568" s="60">
        <f>SUM(E569)</f>
        <v>0</v>
      </c>
      <c r="F568" s="60">
        <f>SUM(D568:E568)</f>
        <v>167220</v>
      </c>
    </row>
    <row r="569" spans="1:6" ht="15">
      <c r="A569" s="41"/>
      <c r="B569" s="54"/>
      <c r="C569" s="26" t="s">
        <v>161</v>
      </c>
      <c r="D569" s="56">
        <v>167220</v>
      </c>
      <c r="E569" s="56"/>
      <c r="F569" s="56">
        <f>SUM(D569:E569)</f>
        <v>167220</v>
      </c>
    </row>
    <row r="570" spans="1:6" ht="15">
      <c r="A570" s="41"/>
      <c r="B570" s="54"/>
      <c r="C570" s="26"/>
      <c r="D570" s="56"/>
      <c r="E570" s="56"/>
      <c r="F570" s="56"/>
    </row>
    <row r="571" spans="1:6" ht="28.5">
      <c r="A571" s="57" t="s">
        <v>368</v>
      </c>
      <c r="B571" s="58"/>
      <c r="C571" s="59" t="s">
        <v>369</v>
      </c>
      <c r="D571" s="56"/>
      <c r="E571" s="56"/>
      <c r="F571" s="56"/>
    </row>
    <row r="572" spans="1:6" ht="14.25">
      <c r="A572" s="41"/>
      <c r="B572" s="54"/>
      <c r="C572" s="59" t="s">
        <v>152</v>
      </c>
      <c r="D572" s="60">
        <f>SUM(D578,D585,D593,D601)</f>
        <v>807473</v>
      </c>
      <c r="E572" s="60">
        <f>SUM(E578,E585,E593,E601)</f>
        <v>0</v>
      </c>
      <c r="F572" s="60">
        <f>SUM(D572:E572)</f>
        <v>807473</v>
      </c>
    </row>
    <row r="573" spans="1:6" ht="14.25">
      <c r="A573" s="41"/>
      <c r="B573" s="54"/>
      <c r="C573" s="59" t="s">
        <v>153</v>
      </c>
      <c r="D573" s="60">
        <f>SUM(D574:D575)</f>
        <v>807473</v>
      </c>
      <c r="E573" s="60">
        <f>SUM(E574:E575)</f>
        <v>0</v>
      </c>
      <c r="F573" s="60">
        <f>SUM(D573:E573)</f>
        <v>807473</v>
      </c>
    </row>
    <row r="574" spans="1:6" ht="15">
      <c r="A574" s="41"/>
      <c r="B574" s="54"/>
      <c r="C574" s="26" t="s">
        <v>147</v>
      </c>
      <c r="D574" s="56">
        <f>SUM(D582,D589,D597,D605)</f>
        <v>657473</v>
      </c>
      <c r="E574" s="56">
        <f>SUM(E582,E589,E597,E605)</f>
        <v>0</v>
      </c>
      <c r="F574" s="56">
        <f>SUM(D574:E574)</f>
        <v>657473</v>
      </c>
    </row>
    <row r="575" spans="1:6" ht="15">
      <c r="A575" s="41"/>
      <c r="B575" s="54"/>
      <c r="C575" s="26" t="s">
        <v>148</v>
      </c>
      <c r="D575" s="56">
        <f>SUM(D598)</f>
        <v>150000</v>
      </c>
      <c r="E575" s="56">
        <f>SUM(E598)</f>
        <v>0</v>
      </c>
      <c r="F575" s="56">
        <f>SUM(D575:E575)</f>
        <v>150000</v>
      </c>
    </row>
    <row r="576" spans="1:6" ht="14.25">
      <c r="A576" s="57" t="s">
        <v>370</v>
      </c>
      <c r="B576" s="54"/>
      <c r="C576" s="59" t="s">
        <v>8</v>
      </c>
      <c r="D576" s="60">
        <f>SUM(D581,D588)</f>
        <v>436973</v>
      </c>
      <c r="E576" s="60">
        <f>SUM(E581,E588)</f>
        <v>0</v>
      </c>
      <c r="F576" s="60">
        <f>SUM(D576:E576)</f>
        <v>436973</v>
      </c>
    </row>
    <row r="577" spans="1:6" ht="15">
      <c r="A577" s="65" t="s">
        <v>371</v>
      </c>
      <c r="B577" s="63" t="s">
        <v>166</v>
      </c>
      <c r="C577" s="24" t="s">
        <v>199</v>
      </c>
      <c r="D577" s="64"/>
      <c r="E577" s="64"/>
      <c r="F577" s="64"/>
    </row>
    <row r="578" spans="1:6" ht="14.25">
      <c r="A578" s="41"/>
      <c r="B578" s="54"/>
      <c r="C578" s="59" t="s">
        <v>158</v>
      </c>
      <c r="D578" s="60">
        <f>SUM(D579)</f>
        <v>407973</v>
      </c>
      <c r="E578" s="60">
        <f>SUM(E579)</f>
        <v>0</v>
      </c>
      <c r="F578" s="60">
        <f>SUM(D578:E578)</f>
        <v>407973</v>
      </c>
    </row>
    <row r="579" spans="1:6" ht="15">
      <c r="A579" s="41"/>
      <c r="B579" s="54"/>
      <c r="C579" s="26" t="s">
        <v>159</v>
      </c>
      <c r="D579" s="56">
        <f>SUM(D581)</f>
        <v>407973</v>
      </c>
      <c r="E579" s="56"/>
      <c r="F579" s="56">
        <f>SUM(D579:E579)</f>
        <v>407973</v>
      </c>
    </row>
    <row r="580" spans="1:6" ht="15">
      <c r="A580" s="41"/>
      <c r="B580" s="54"/>
      <c r="C580" s="26"/>
      <c r="D580" s="56"/>
      <c r="E580" s="56"/>
      <c r="F580" s="56"/>
    </row>
    <row r="581" spans="1:6" ht="14.25">
      <c r="A581" s="41"/>
      <c r="B581" s="54"/>
      <c r="C581" s="59" t="s">
        <v>160</v>
      </c>
      <c r="D581" s="60">
        <f>SUM(D582:D582)</f>
        <v>407973</v>
      </c>
      <c r="E581" s="60">
        <f>SUM(E582:E582)</f>
        <v>0</v>
      </c>
      <c r="F581" s="60">
        <f>SUM(D581:E581)</f>
        <v>407973</v>
      </c>
    </row>
    <row r="582" spans="1:6" ht="15">
      <c r="A582" s="41"/>
      <c r="B582" s="54"/>
      <c r="C582" s="26" t="s">
        <v>161</v>
      </c>
      <c r="D582" s="56">
        <f>400040+7933</f>
        <v>407973</v>
      </c>
      <c r="E582" s="56"/>
      <c r="F582" s="56">
        <f>SUM(D582:E582)</f>
        <v>407973</v>
      </c>
    </row>
    <row r="583" spans="1:6" ht="15">
      <c r="A583" s="41"/>
      <c r="B583" s="54"/>
      <c r="C583" s="26"/>
      <c r="D583" s="56"/>
      <c r="E583" s="56"/>
      <c r="F583" s="56"/>
    </row>
    <row r="584" spans="1:6" ht="30">
      <c r="A584" s="41" t="s">
        <v>372</v>
      </c>
      <c r="B584" s="54" t="s">
        <v>373</v>
      </c>
      <c r="C584" s="26" t="s">
        <v>374</v>
      </c>
      <c r="D584" s="56"/>
      <c r="E584" s="56"/>
      <c r="F584" s="56"/>
    </row>
    <row r="585" spans="1:6" ht="14.25">
      <c r="A585" s="41"/>
      <c r="B585" s="54"/>
      <c r="C585" s="59" t="s">
        <v>158</v>
      </c>
      <c r="D585" s="60">
        <f>SUM(D586)</f>
        <v>29000</v>
      </c>
      <c r="E585" s="60">
        <f>SUM(E586)</f>
        <v>0</v>
      </c>
      <c r="F585" s="60">
        <f>SUM(D585:E585)</f>
        <v>29000</v>
      </c>
    </row>
    <row r="586" spans="1:6" ht="15">
      <c r="A586" s="41"/>
      <c r="B586" s="54"/>
      <c r="C586" s="26" t="s">
        <v>159</v>
      </c>
      <c r="D586" s="56">
        <f>SUM(D588)</f>
        <v>29000</v>
      </c>
      <c r="E586" s="56"/>
      <c r="F586" s="56">
        <f>SUM(D586:E586)</f>
        <v>29000</v>
      </c>
    </row>
    <row r="587" spans="1:6" ht="15">
      <c r="A587" s="41"/>
      <c r="B587" s="54"/>
      <c r="C587" s="26"/>
      <c r="D587" s="56"/>
      <c r="E587" s="56"/>
      <c r="F587" s="56"/>
    </row>
    <row r="588" spans="1:6" ht="14.25">
      <c r="A588" s="41"/>
      <c r="B588" s="54"/>
      <c r="C588" s="59" t="s">
        <v>160</v>
      </c>
      <c r="D588" s="60">
        <f>SUM(D589:D589)</f>
        <v>29000</v>
      </c>
      <c r="E588" s="60">
        <f>SUM(E589:E589)</f>
        <v>0</v>
      </c>
      <c r="F588" s="60">
        <f>SUM(D588:E588)</f>
        <v>29000</v>
      </c>
    </row>
    <row r="589" spans="1:6" ht="15">
      <c r="A589" s="41"/>
      <c r="B589" s="54"/>
      <c r="C589" s="26" t="s">
        <v>161</v>
      </c>
      <c r="D589" s="56">
        <v>29000</v>
      </c>
      <c r="E589" s="56"/>
      <c r="F589" s="56">
        <f>SUM(D589:E589)</f>
        <v>29000</v>
      </c>
    </row>
    <row r="590" spans="1:6" ht="15">
      <c r="A590" s="41"/>
      <c r="B590" s="54"/>
      <c r="C590" s="26"/>
      <c r="D590" s="56"/>
      <c r="E590" s="56"/>
      <c r="F590" s="56"/>
    </row>
    <row r="591" spans="1:6" ht="14.25">
      <c r="A591" s="57" t="s">
        <v>375</v>
      </c>
      <c r="B591" s="58"/>
      <c r="C591" s="59" t="s">
        <v>11</v>
      </c>
      <c r="D591" s="60">
        <f>SUM(D596,D604)</f>
        <v>370500</v>
      </c>
      <c r="E591" s="60">
        <f>SUM(E596,E604)</f>
        <v>0</v>
      </c>
      <c r="F591" s="60">
        <f>SUM(D591:E591)</f>
        <v>370500</v>
      </c>
    </row>
    <row r="592" spans="1:6" ht="15">
      <c r="A592" s="65" t="s">
        <v>376</v>
      </c>
      <c r="B592" s="63" t="s">
        <v>377</v>
      </c>
      <c r="C592" s="24" t="s">
        <v>378</v>
      </c>
      <c r="D592" s="64"/>
      <c r="E592" s="64"/>
      <c r="F592" s="64"/>
    </row>
    <row r="593" spans="1:6" ht="14.25">
      <c r="A593" s="41"/>
      <c r="B593" s="54"/>
      <c r="C593" s="59" t="s">
        <v>158</v>
      </c>
      <c r="D593" s="60">
        <f>SUM(D594:D594)</f>
        <v>241500</v>
      </c>
      <c r="E593" s="60">
        <f>SUM(E594:E594)</f>
        <v>0</v>
      </c>
      <c r="F593" s="60">
        <f>SUM(D593:E593)</f>
        <v>241500</v>
      </c>
    </row>
    <row r="594" spans="1:6" ht="15">
      <c r="A594" s="41"/>
      <c r="B594" s="54"/>
      <c r="C594" s="26" t="s">
        <v>159</v>
      </c>
      <c r="D594" s="56">
        <f>SUM(D596)</f>
        <v>241500</v>
      </c>
      <c r="E594" s="56"/>
      <c r="F594" s="56">
        <f>SUM(D594:E594)</f>
        <v>241500</v>
      </c>
    </row>
    <row r="595" spans="1:6" ht="15">
      <c r="A595" s="41"/>
      <c r="B595" s="54"/>
      <c r="C595" s="26"/>
      <c r="D595" s="56"/>
      <c r="E595" s="56"/>
      <c r="F595" s="56"/>
    </row>
    <row r="596" spans="1:6" ht="14.25">
      <c r="A596" s="41"/>
      <c r="B596" s="54"/>
      <c r="C596" s="59" t="s">
        <v>160</v>
      </c>
      <c r="D596" s="60">
        <f>SUM(D597:D598)</f>
        <v>241500</v>
      </c>
      <c r="E596" s="60">
        <f>SUM(E597:E598)</f>
        <v>0</v>
      </c>
      <c r="F596" s="60">
        <f>SUM(D596:E596)</f>
        <v>241500</v>
      </c>
    </row>
    <row r="597" spans="1:6" ht="15">
      <c r="A597" s="41"/>
      <c r="B597" s="54"/>
      <c r="C597" s="26" t="s">
        <v>161</v>
      </c>
      <c r="D597" s="56">
        <v>91500</v>
      </c>
      <c r="E597" s="56"/>
      <c r="F597" s="56">
        <f>SUM(D597:E597)</f>
        <v>91500</v>
      </c>
    </row>
    <row r="598" spans="1:6" ht="15">
      <c r="A598" s="41"/>
      <c r="B598" s="54"/>
      <c r="C598" s="26" t="s">
        <v>168</v>
      </c>
      <c r="D598" s="56">
        <v>150000</v>
      </c>
      <c r="E598" s="56"/>
      <c r="F598" s="56">
        <f>SUM(D598:E598)</f>
        <v>150000</v>
      </c>
    </row>
    <row r="599" spans="1:6" ht="15">
      <c r="A599" s="41"/>
      <c r="B599" s="54"/>
      <c r="C599" s="26"/>
      <c r="D599" s="56"/>
      <c r="E599" s="56"/>
      <c r="F599" s="56"/>
    </row>
    <row r="600" spans="1:6" ht="30">
      <c r="A600" s="65" t="s">
        <v>379</v>
      </c>
      <c r="B600" s="63" t="s">
        <v>202</v>
      </c>
      <c r="C600" s="24" t="s">
        <v>380</v>
      </c>
      <c r="D600" s="64"/>
      <c r="E600" s="64"/>
      <c r="F600" s="64"/>
    </row>
    <row r="601" spans="1:6" ht="14.25">
      <c r="A601" s="41"/>
      <c r="B601" s="54"/>
      <c r="C601" s="59" t="s">
        <v>158</v>
      </c>
      <c r="D601" s="60">
        <f>SUM(D602:D602)</f>
        <v>129000</v>
      </c>
      <c r="E601" s="60">
        <f>SUM(E602:E602)</f>
        <v>0</v>
      </c>
      <c r="F601" s="60">
        <f>SUM(D601:E601)</f>
        <v>129000</v>
      </c>
    </row>
    <row r="602" spans="1:6" ht="15">
      <c r="A602" s="41"/>
      <c r="B602" s="54"/>
      <c r="C602" s="26" t="s">
        <v>159</v>
      </c>
      <c r="D602" s="56">
        <f>SUM(D604)</f>
        <v>129000</v>
      </c>
      <c r="E602" s="56"/>
      <c r="F602" s="56">
        <f>SUM(D602:E602)</f>
        <v>129000</v>
      </c>
    </row>
    <row r="603" spans="1:6" ht="15">
      <c r="A603" s="41"/>
      <c r="B603" s="54"/>
      <c r="C603" s="26"/>
      <c r="D603" s="56"/>
      <c r="E603" s="56"/>
      <c r="F603" s="56"/>
    </row>
    <row r="604" spans="1:6" ht="14.25">
      <c r="A604" s="41"/>
      <c r="B604" s="54"/>
      <c r="C604" s="59" t="s">
        <v>160</v>
      </c>
      <c r="D604" s="60">
        <f>SUM(D605:D605)</f>
        <v>129000</v>
      </c>
      <c r="E604" s="60">
        <f>SUM(E605:E605)</f>
        <v>0</v>
      </c>
      <c r="F604" s="60">
        <f>SUM(D604:E604)</f>
        <v>129000</v>
      </c>
    </row>
    <row r="605" spans="1:6" ht="15">
      <c r="A605" s="41"/>
      <c r="B605" s="54"/>
      <c r="C605" s="26" t="s">
        <v>161</v>
      </c>
      <c r="D605" s="56">
        <v>129000</v>
      </c>
      <c r="E605" s="56"/>
      <c r="F605" s="56">
        <f>SUM(D605:E605)</f>
        <v>129000</v>
      </c>
    </row>
    <row r="606" spans="1:6" ht="15">
      <c r="A606" s="41"/>
      <c r="B606" s="54"/>
      <c r="C606" s="26"/>
      <c r="D606" s="56"/>
      <c r="E606" s="56"/>
      <c r="F606" s="56"/>
    </row>
    <row r="607" spans="1:6" ht="14.25">
      <c r="A607" s="57" t="s">
        <v>381</v>
      </c>
      <c r="B607" s="58"/>
      <c r="C607" s="59" t="s">
        <v>382</v>
      </c>
      <c r="D607" s="56"/>
      <c r="E607" s="56"/>
      <c r="F607" s="56"/>
    </row>
    <row r="608" spans="1:6" ht="14.25">
      <c r="A608" s="41"/>
      <c r="B608" s="54"/>
      <c r="C608" s="59" t="s">
        <v>152</v>
      </c>
      <c r="D608" s="60">
        <f>D615+D623+D632+D640+D647+D654+D664+D673+D681+D688+D695+D702+D709+D717+D725+D732+D739+D746+D753+D763+D770</f>
        <v>5314106</v>
      </c>
      <c r="E608" s="60">
        <f>E615+E623+E632+E640+E647+E654+E664+E673+E681+E688+E695+E702+E709+E717+E725+E732+E739+E746+E753+E763</f>
        <v>5174294</v>
      </c>
      <c r="F608" s="60">
        <f aca="true" t="shared" si="5" ref="F608:F613">SUM(D608:E608)</f>
        <v>10488400</v>
      </c>
    </row>
    <row r="609" spans="1:6" ht="14.25">
      <c r="A609" s="41"/>
      <c r="B609" s="54"/>
      <c r="C609" s="59" t="s">
        <v>153</v>
      </c>
      <c r="D609" s="60">
        <f>SUM(D610:D612)</f>
        <v>5314106</v>
      </c>
      <c r="E609" s="60">
        <f>SUM(E610:E612)</f>
        <v>5174294</v>
      </c>
      <c r="F609" s="60">
        <f t="shared" si="5"/>
        <v>10488400</v>
      </c>
    </row>
    <row r="610" spans="1:6" ht="15">
      <c r="A610" s="41"/>
      <c r="B610" s="54"/>
      <c r="C610" s="26" t="s">
        <v>147</v>
      </c>
      <c r="D610" s="56">
        <f>SUMIF($C$607:$C$775,$C$605,D$607:D$775)</f>
        <v>1681938</v>
      </c>
      <c r="E610" s="56">
        <f>SUMIF($C$607:$C$775,$C$605,E$607:E$775)</f>
        <v>419294</v>
      </c>
      <c r="F610" s="56">
        <f t="shared" si="5"/>
        <v>2101232</v>
      </c>
    </row>
    <row r="611" spans="1:6" ht="15">
      <c r="A611" s="41"/>
      <c r="B611" s="54"/>
      <c r="C611" s="26" t="s">
        <v>148</v>
      </c>
      <c r="D611" s="56">
        <f>SUMIF($C$607:$C$775,$C$627,D$607:D$775)</f>
        <v>3628913</v>
      </c>
      <c r="E611" s="56">
        <f>SUMIF($C$607:$C$775,$C$627,E$607:E$775)</f>
        <v>4755000</v>
      </c>
      <c r="F611" s="56">
        <f t="shared" si="5"/>
        <v>8383913</v>
      </c>
    </row>
    <row r="612" spans="1:6" ht="15">
      <c r="A612" s="41"/>
      <c r="B612" s="54"/>
      <c r="C612" s="26" t="s">
        <v>149</v>
      </c>
      <c r="D612" s="56">
        <f>D628</f>
        <v>3255</v>
      </c>
      <c r="E612" s="56">
        <f>E628</f>
        <v>0</v>
      </c>
      <c r="F612" s="56">
        <f t="shared" si="5"/>
        <v>3255</v>
      </c>
    </row>
    <row r="613" spans="1:6" ht="14.25">
      <c r="A613" s="57" t="s">
        <v>383</v>
      </c>
      <c r="B613" s="54"/>
      <c r="C613" s="59" t="s">
        <v>8</v>
      </c>
      <c r="D613" s="60">
        <f>SUM(D619,D626)</f>
        <v>664124</v>
      </c>
      <c r="E613" s="60">
        <f>SUM(E619)</f>
        <v>25294</v>
      </c>
      <c r="F613" s="60">
        <f t="shared" si="5"/>
        <v>689418</v>
      </c>
    </row>
    <row r="614" spans="1:6" ht="15">
      <c r="A614" s="65" t="s">
        <v>384</v>
      </c>
      <c r="B614" s="63" t="s">
        <v>166</v>
      </c>
      <c r="C614" s="24" t="s">
        <v>199</v>
      </c>
      <c r="D614" s="64"/>
      <c r="E614" s="64"/>
      <c r="F614" s="64"/>
    </row>
    <row r="615" spans="1:6" ht="14.25">
      <c r="A615" s="41"/>
      <c r="B615" s="54"/>
      <c r="C615" s="59" t="s">
        <v>158</v>
      </c>
      <c r="D615" s="60">
        <f>SUM(D616:D617)</f>
        <v>660583</v>
      </c>
      <c r="E615" s="60">
        <f>SUM(E616:E617)</f>
        <v>25294</v>
      </c>
      <c r="F615" s="60">
        <f>SUM(D615:E615)</f>
        <v>685877</v>
      </c>
    </row>
    <row r="616" spans="1:6" ht="15">
      <c r="A616" s="41"/>
      <c r="B616" s="54"/>
      <c r="C616" s="26" t="s">
        <v>159</v>
      </c>
      <c r="D616" s="56">
        <f>SUM(D619)</f>
        <v>660583</v>
      </c>
      <c r="E616" s="56"/>
      <c r="F616" s="56">
        <f>SUM(D616:E616)</f>
        <v>660583</v>
      </c>
    </row>
    <row r="617" spans="1:6" ht="15">
      <c r="A617" s="41"/>
      <c r="B617" s="54"/>
      <c r="C617" s="26" t="s">
        <v>332</v>
      </c>
      <c r="D617" s="56"/>
      <c r="E617" s="56">
        <v>25294</v>
      </c>
      <c r="F617" s="56">
        <f>SUM(D617:E617)</f>
        <v>25294</v>
      </c>
    </row>
    <row r="618" spans="1:6" ht="15">
      <c r="A618" s="41"/>
      <c r="B618" s="54"/>
      <c r="C618" s="26"/>
      <c r="D618" s="56"/>
      <c r="E618" s="56"/>
      <c r="F618" s="56"/>
    </row>
    <row r="619" spans="1:6" ht="14.25">
      <c r="A619" s="41"/>
      <c r="B619" s="54"/>
      <c r="C619" s="59" t="s">
        <v>160</v>
      </c>
      <c r="D619" s="60">
        <f>SUM(D620:D620)</f>
        <v>660583</v>
      </c>
      <c r="E619" s="60">
        <f>SUM(E620:E620)</f>
        <v>25294</v>
      </c>
      <c r="F619" s="60">
        <f>SUM(D619:E619)</f>
        <v>685877</v>
      </c>
    </row>
    <row r="620" spans="1:6" ht="15">
      <c r="A620" s="41"/>
      <c r="B620" s="54"/>
      <c r="C620" s="26" t="s">
        <v>161</v>
      </c>
      <c r="D620" s="56">
        <f>652502+8081</f>
        <v>660583</v>
      </c>
      <c r="E620" s="56">
        <v>25294</v>
      </c>
      <c r="F620" s="56">
        <f>SUM(D620:E620)</f>
        <v>685877</v>
      </c>
    </row>
    <row r="621" spans="1:6" ht="15">
      <c r="A621" s="41"/>
      <c r="B621" s="54"/>
      <c r="C621" s="26"/>
      <c r="D621" s="56"/>
      <c r="E621" s="56"/>
      <c r="F621" s="56"/>
    </row>
    <row r="622" spans="1:6" ht="30">
      <c r="A622" s="41" t="s">
        <v>385</v>
      </c>
      <c r="B622" s="63" t="s">
        <v>241</v>
      </c>
      <c r="C622" s="24" t="s">
        <v>386</v>
      </c>
      <c r="D622" s="64"/>
      <c r="E622" s="64"/>
      <c r="F622" s="64"/>
    </row>
    <row r="623" spans="1:6" ht="14.25">
      <c r="A623" s="41"/>
      <c r="B623" s="54"/>
      <c r="C623" s="59" t="s">
        <v>158</v>
      </c>
      <c r="D623" s="60">
        <f>SUM(D624:D624)</f>
        <v>3541</v>
      </c>
      <c r="E623" s="60">
        <f>SUM(E624:E624)</f>
        <v>0</v>
      </c>
      <c r="F623" s="60">
        <f>SUM(D623:E623)</f>
        <v>3541</v>
      </c>
    </row>
    <row r="624" spans="1:6" ht="15">
      <c r="A624" s="41"/>
      <c r="B624" s="54"/>
      <c r="C624" s="26" t="s">
        <v>159</v>
      </c>
      <c r="D624" s="56">
        <f>SUM(D626)</f>
        <v>3541</v>
      </c>
      <c r="E624" s="56"/>
      <c r="F624" s="56">
        <f>SUM(D624:E624)</f>
        <v>3541</v>
      </c>
    </row>
    <row r="625" spans="1:6" ht="15">
      <c r="A625" s="41"/>
      <c r="B625" s="54"/>
      <c r="C625" s="26"/>
      <c r="D625" s="56"/>
      <c r="E625" s="56"/>
      <c r="F625" s="56"/>
    </row>
    <row r="626" spans="1:6" ht="14.25">
      <c r="A626" s="41"/>
      <c r="B626" s="54"/>
      <c r="C626" s="59" t="s">
        <v>160</v>
      </c>
      <c r="D626" s="60">
        <f>SUM(D627:D628)</f>
        <v>3541</v>
      </c>
      <c r="E626" s="60">
        <f>SUM(E628:E628)</f>
        <v>0</v>
      </c>
      <c r="F626" s="60">
        <f>SUM(D626:E626)</f>
        <v>3541</v>
      </c>
    </row>
    <row r="627" spans="1:6" ht="15">
      <c r="A627" s="41"/>
      <c r="B627" s="54"/>
      <c r="C627" s="26" t="s">
        <v>168</v>
      </c>
      <c r="D627" s="56">
        <v>286</v>
      </c>
      <c r="E627" s="56"/>
      <c r="F627" s="56">
        <f>SUM(D627:E627)</f>
        <v>286</v>
      </c>
    </row>
    <row r="628" spans="1:6" ht="15">
      <c r="A628" s="41"/>
      <c r="B628" s="54"/>
      <c r="C628" s="26" t="s">
        <v>243</v>
      </c>
      <c r="D628" s="56">
        <v>3255</v>
      </c>
      <c r="E628" s="56"/>
      <c r="F628" s="56">
        <f>SUM(D628:E628)</f>
        <v>3255</v>
      </c>
    </row>
    <row r="629" spans="1:6" ht="15">
      <c r="A629" s="41"/>
      <c r="B629" s="54"/>
      <c r="C629" s="26"/>
      <c r="D629" s="56"/>
      <c r="E629" s="56"/>
      <c r="F629" s="56"/>
    </row>
    <row r="630" spans="1:6" ht="14.25">
      <c r="A630" s="57" t="s">
        <v>387</v>
      </c>
      <c r="B630" s="58"/>
      <c r="C630" s="59" t="s">
        <v>11</v>
      </c>
      <c r="D630" s="60">
        <f>SUM(D636,D643,D650,D658)</f>
        <v>764474</v>
      </c>
      <c r="E630" s="60">
        <f>SUM(E636,E643,E650,E658)</f>
        <v>475000</v>
      </c>
      <c r="F630" s="60">
        <f>SUM(D630:E630)</f>
        <v>1239474</v>
      </c>
    </row>
    <row r="631" spans="1:6" ht="15">
      <c r="A631" s="65" t="s">
        <v>388</v>
      </c>
      <c r="B631" s="63" t="s">
        <v>389</v>
      </c>
      <c r="C631" s="24" t="s">
        <v>390</v>
      </c>
      <c r="D631" s="64"/>
      <c r="E631" s="64"/>
      <c r="F631" s="64"/>
    </row>
    <row r="632" spans="1:6" ht="14.25">
      <c r="A632" s="41"/>
      <c r="B632" s="54"/>
      <c r="C632" s="59" t="s">
        <v>158</v>
      </c>
      <c r="D632" s="60">
        <f>SUM(D633:D634)</f>
        <v>9000</v>
      </c>
      <c r="E632" s="60">
        <f>SUM(E633:E634)</f>
        <v>81000</v>
      </c>
      <c r="F632" s="60">
        <f>SUM(D632:E632)</f>
        <v>90000</v>
      </c>
    </row>
    <row r="633" spans="1:6" ht="15">
      <c r="A633" s="41"/>
      <c r="B633" s="54"/>
      <c r="C633" s="26" t="s">
        <v>159</v>
      </c>
      <c r="D633" s="56">
        <f>SUM(D636)</f>
        <v>9000</v>
      </c>
      <c r="E633" s="56"/>
      <c r="F633" s="56">
        <f>SUM(D633:E633)</f>
        <v>9000</v>
      </c>
    </row>
    <row r="634" spans="1:6" ht="15">
      <c r="A634" s="41"/>
      <c r="B634" s="54"/>
      <c r="C634" s="26" t="s">
        <v>328</v>
      </c>
      <c r="D634" s="56"/>
      <c r="E634" s="56">
        <v>81000</v>
      </c>
      <c r="F634" s="56">
        <f>SUM(D634:E634)</f>
        <v>81000</v>
      </c>
    </row>
    <row r="635" spans="1:6" ht="15">
      <c r="A635" s="41"/>
      <c r="B635" s="54"/>
      <c r="C635" s="26"/>
      <c r="D635" s="56"/>
      <c r="E635" s="56"/>
      <c r="F635" s="56"/>
    </row>
    <row r="636" spans="1:6" ht="14.25">
      <c r="A636" s="41"/>
      <c r="B636" s="54"/>
      <c r="C636" s="59" t="s">
        <v>160</v>
      </c>
      <c r="D636" s="60">
        <f>SUM(D637:D637)</f>
        <v>9000</v>
      </c>
      <c r="E636" s="60">
        <f>SUM(E637:E637)</f>
        <v>81000</v>
      </c>
      <c r="F636" s="60">
        <f>SUM(D636:E636)</f>
        <v>90000</v>
      </c>
    </row>
    <row r="637" spans="1:6" ht="15">
      <c r="A637" s="41"/>
      <c r="B637" s="54"/>
      <c r="C637" s="26" t="s">
        <v>168</v>
      </c>
      <c r="D637" s="56">
        <v>9000</v>
      </c>
      <c r="E637" s="56">
        <v>81000</v>
      </c>
      <c r="F637" s="56">
        <f>SUM(D637:E637)</f>
        <v>90000</v>
      </c>
    </row>
    <row r="638" spans="1:6" ht="14.25">
      <c r="A638" s="57"/>
      <c r="B638" s="58"/>
      <c r="C638" s="59"/>
      <c r="D638" s="60"/>
      <c r="E638" s="60"/>
      <c r="F638" s="60"/>
    </row>
    <row r="639" spans="1:6" ht="15">
      <c r="A639" s="65" t="s">
        <v>391</v>
      </c>
      <c r="B639" s="63" t="s">
        <v>392</v>
      </c>
      <c r="C639" s="24" t="s">
        <v>393</v>
      </c>
      <c r="D639" s="64"/>
      <c r="E639" s="64"/>
      <c r="F639" s="64"/>
    </row>
    <row r="640" spans="1:6" ht="14.25">
      <c r="A640" s="41"/>
      <c r="B640" s="54"/>
      <c r="C640" s="59" t="s">
        <v>158</v>
      </c>
      <c r="D640" s="60">
        <f>SUM(D641:D641)</f>
        <v>100000</v>
      </c>
      <c r="E640" s="60">
        <f>SUM(E641:E641)</f>
        <v>0</v>
      </c>
      <c r="F640" s="60">
        <f>SUM(D640:E640)</f>
        <v>100000</v>
      </c>
    </row>
    <row r="641" spans="1:6" ht="15">
      <c r="A641" s="41"/>
      <c r="B641" s="54"/>
      <c r="C641" s="26" t="s">
        <v>159</v>
      </c>
      <c r="D641" s="56">
        <f>SUM(D643)</f>
        <v>100000</v>
      </c>
      <c r="E641" s="56"/>
      <c r="F641" s="56">
        <f>SUM(D641:E641)</f>
        <v>100000</v>
      </c>
    </row>
    <row r="642" spans="1:6" ht="15">
      <c r="A642" s="41"/>
      <c r="B642" s="54"/>
      <c r="C642" s="26"/>
      <c r="D642" s="56"/>
      <c r="E642" s="56"/>
      <c r="F642" s="56"/>
    </row>
    <row r="643" spans="1:6" ht="14.25">
      <c r="A643" s="41"/>
      <c r="B643" s="54"/>
      <c r="C643" s="59" t="s">
        <v>160</v>
      </c>
      <c r="D643" s="60">
        <f>SUM(D644:D644)</f>
        <v>100000</v>
      </c>
      <c r="E643" s="60">
        <f>SUM(E644:E644)</f>
        <v>0</v>
      </c>
      <c r="F643" s="60">
        <f>SUM(D643:E643)</f>
        <v>100000</v>
      </c>
    </row>
    <row r="644" spans="1:6" ht="15">
      <c r="A644" s="41"/>
      <c r="B644" s="54"/>
      <c r="C644" s="26" t="s">
        <v>168</v>
      </c>
      <c r="D644" s="56">
        <v>100000</v>
      </c>
      <c r="E644" s="56"/>
      <c r="F644" s="56">
        <f>SUM(D644:E644)</f>
        <v>100000</v>
      </c>
    </row>
    <row r="645" spans="1:6" ht="14.25">
      <c r="A645" s="57"/>
      <c r="B645" s="58"/>
      <c r="C645" s="59"/>
      <c r="D645" s="60"/>
      <c r="E645" s="60"/>
      <c r="F645" s="60"/>
    </row>
    <row r="646" spans="1:6" ht="15">
      <c r="A646" s="65" t="s">
        <v>394</v>
      </c>
      <c r="B646" s="63" t="s">
        <v>202</v>
      </c>
      <c r="C646" s="24" t="s">
        <v>230</v>
      </c>
      <c r="D646" s="64"/>
      <c r="E646" s="64"/>
      <c r="F646" s="64"/>
    </row>
    <row r="647" spans="1:6" ht="14.25">
      <c r="A647" s="41"/>
      <c r="B647" s="54"/>
      <c r="C647" s="59" t="s">
        <v>158</v>
      </c>
      <c r="D647" s="60">
        <f>SUM(D648:D648)</f>
        <v>24341</v>
      </c>
      <c r="E647" s="60">
        <f>SUM(E648:E648)</f>
        <v>0</v>
      </c>
      <c r="F647" s="60">
        <f>SUM(D647:E647)</f>
        <v>24341</v>
      </c>
    </row>
    <row r="648" spans="1:6" ht="15">
      <c r="A648" s="41"/>
      <c r="B648" s="54"/>
      <c r="C648" s="26" t="s">
        <v>159</v>
      </c>
      <c r="D648" s="56">
        <f>SUM(D650)</f>
        <v>24341</v>
      </c>
      <c r="E648" s="56"/>
      <c r="F648" s="56">
        <f>SUM(D648:E648)</f>
        <v>24341</v>
      </c>
    </row>
    <row r="649" spans="1:6" ht="15">
      <c r="A649" s="41"/>
      <c r="B649" s="54"/>
      <c r="C649" s="26"/>
      <c r="D649" s="56"/>
      <c r="E649" s="56"/>
      <c r="F649" s="56"/>
    </row>
    <row r="650" spans="1:6" ht="14.25">
      <c r="A650" s="41"/>
      <c r="B650" s="54"/>
      <c r="C650" s="59" t="s">
        <v>160</v>
      </c>
      <c r="D650" s="60">
        <f>SUM(D651:D651)</f>
        <v>24341</v>
      </c>
      <c r="E650" s="60">
        <f>SUM(E651:E651)</f>
        <v>0</v>
      </c>
      <c r="F650" s="60">
        <f>SUM(D650:E650)</f>
        <v>24341</v>
      </c>
    </row>
    <row r="651" spans="1:6" ht="15">
      <c r="A651" s="41"/>
      <c r="B651" s="54"/>
      <c r="C651" s="26" t="s">
        <v>161</v>
      </c>
      <c r="D651" s="56">
        <v>24341</v>
      </c>
      <c r="E651" s="56"/>
      <c r="F651" s="56">
        <f>SUM(D651:E651)</f>
        <v>24341</v>
      </c>
    </row>
    <row r="652" spans="1:6" ht="14.25">
      <c r="A652" s="57"/>
      <c r="B652" s="58"/>
      <c r="C652" s="59"/>
      <c r="D652" s="60"/>
      <c r="E652" s="60"/>
      <c r="F652" s="60"/>
    </row>
    <row r="653" spans="1:6" ht="15">
      <c r="A653" s="65" t="s">
        <v>395</v>
      </c>
      <c r="B653" s="63" t="s">
        <v>205</v>
      </c>
      <c r="C653" s="24" t="s">
        <v>396</v>
      </c>
      <c r="D653" s="64"/>
      <c r="E653" s="64"/>
      <c r="F653" s="64"/>
    </row>
    <row r="654" spans="1:6" ht="14.25">
      <c r="A654" s="41"/>
      <c r="B654" s="54"/>
      <c r="C654" s="59" t="s">
        <v>158</v>
      </c>
      <c r="D654" s="60">
        <f>SUM(D655:D656)</f>
        <v>631133</v>
      </c>
      <c r="E654" s="60">
        <f>SUM(E655:E656)</f>
        <v>394000</v>
      </c>
      <c r="F654" s="60">
        <f>SUM(D654:E654)</f>
        <v>1025133</v>
      </c>
    </row>
    <row r="655" spans="1:6" ht="15">
      <c r="A655" s="41"/>
      <c r="B655" s="54"/>
      <c r="C655" s="26" t="s">
        <v>159</v>
      </c>
      <c r="D655" s="56">
        <f>SUM(D658)</f>
        <v>631133</v>
      </c>
      <c r="E655" s="56"/>
      <c r="F655" s="56">
        <f>SUM(D655:E655)</f>
        <v>631133</v>
      </c>
    </row>
    <row r="656" spans="1:6" ht="15">
      <c r="A656" s="41"/>
      <c r="B656" s="54"/>
      <c r="C656" s="26" t="s">
        <v>251</v>
      </c>
      <c r="D656" s="56"/>
      <c r="E656" s="56">
        <v>394000</v>
      </c>
      <c r="F656" s="56">
        <f>SUM(D656:E656)</f>
        <v>394000</v>
      </c>
    </row>
    <row r="657" spans="1:6" ht="15">
      <c r="A657" s="41"/>
      <c r="B657" s="54"/>
      <c r="C657" s="26"/>
      <c r="D657" s="56"/>
      <c r="E657" s="56"/>
      <c r="F657" s="56"/>
    </row>
    <row r="658" spans="1:6" ht="14.25">
      <c r="A658" s="41"/>
      <c r="B658" s="54"/>
      <c r="C658" s="59" t="s">
        <v>160</v>
      </c>
      <c r="D658" s="60">
        <f>SUM(D659:D660)</f>
        <v>631133</v>
      </c>
      <c r="E658" s="60">
        <f>SUM(E659:E660)</f>
        <v>394000</v>
      </c>
      <c r="F658" s="60">
        <f>SUM(D658:E658)</f>
        <v>1025133</v>
      </c>
    </row>
    <row r="659" spans="1:6" ht="15">
      <c r="A659" s="41"/>
      <c r="B659" s="54"/>
      <c r="C659" s="26" t="s">
        <v>161</v>
      </c>
      <c r="D659" s="56">
        <v>555133</v>
      </c>
      <c r="E659" s="56">
        <v>394000</v>
      </c>
      <c r="F659" s="56">
        <f>SUM(D659:E659)</f>
        <v>949133</v>
      </c>
    </row>
    <row r="660" spans="1:6" ht="15">
      <c r="A660" s="41"/>
      <c r="B660" s="54"/>
      <c r="C660" s="26" t="s">
        <v>168</v>
      </c>
      <c r="D660" s="56">
        <v>76000</v>
      </c>
      <c r="E660" s="56"/>
      <c r="F660" s="56">
        <f>SUM(D660:E660)</f>
        <v>76000</v>
      </c>
    </row>
    <row r="661" spans="1:6" ht="15">
      <c r="A661" s="41"/>
      <c r="B661" s="54"/>
      <c r="C661" s="26"/>
      <c r="D661" s="56"/>
      <c r="E661" s="56"/>
      <c r="F661" s="56"/>
    </row>
    <row r="662" spans="1:6" ht="14.25">
      <c r="A662" s="57" t="s">
        <v>397</v>
      </c>
      <c r="B662" s="58"/>
      <c r="C662" s="59" t="s">
        <v>13</v>
      </c>
      <c r="D662" s="60">
        <f>SUM(D667)</f>
        <v>213956</v>
      </c>
      <c r="E662" s="60">
        <f>SUM(E667)</f>
        <v>0</v>
      </c>
      <c r="F662" s="60">
        <f>SUM(D662:E662)</f>
        <v>213956</v>
      </c>
    </row>
    <row r="663" spans="1:6" ht="15">
      <c r="A663" s="65" t="s">
        <v>398</v>
      </c>
      <c r="B663" s="63" t="s">
        <v>399</v>
      </c>
      <c r="C663" s="24" t="s">
        <v>400</v>
      </c>
      <c r="D663" s="64"/>
      <c r="E663" s="64"/>
      <c r="F663" s="64"/>
    </row>
    <row r="664" spans="1:6" ht="14.25">
      <c r="A664" s="41"/>
      <c r="B664" s="54"/>
      <c r="C664" s="59" t="s">
        <v>158</v>
      </c>
      <c r="D664" s="60">
        <f>SUM(D665:D665)</f>
        <v>213956</v>
      </c>
      <c r="E664" s="60">
        <f>SUM(E665:E665)</f>
        <v>0</v>
      </c>
      <c r="F664" s="60">
        <f>SUM(D664:E664)</f>
        <v>213956</v>
      </c>
    </row>
    <row r="665" spans="1:6" ht="15">
      <c r="A665" s="41"/>
      <c r="B665" s="54"/>
      <c r="C665" s="26" t="s">
        <v>159</v>
      </c>
      <c r="D665" s="56">
        <f>SUM(D667)</f>
        <v>213956</v>
      </c>
      <c r="E665" s="56"/>
      <c r="F665" s="56">
        <f>SUM(D665:E665)</f>
        <v>213956</v>
      </c>
    </row>
    <row r="666" spans="1:6" ht="15">
      <c r="A666" s="41"/>
      <c r="B666" s="54"/>
      <c r="C666" s="26"/>
      <c r="D666" s="56"/>
      <c r="E666" s="56"/>
      <c r="F666" s="56"/>
    </row>
    <row r="667" spans="1:6" ht="14.25">
      <c r="A667" s="41"/>
      <c r="B667" s="54"/>
      <c r="C667" s="59" t="s">
        <v>160</v>
      </c>
      <c r="D667" s="60">
        <f>SUM(D668:D669)</f>
        <v>213956</v>
      </c>
      <c r="E667" s="60">
        <f>SUM(E668:E669)</f>
        <v>0</v>
      </c>
      <c r="F667" s="60">
        <f>SUM(D667:E667)</f>
        <v>213956</v>
      </c>
    </row>
    <row r="668" spans="1:6" ht="15">
      <c r="A668" s="41"/>
      <c r="B668" s="54"/>
      <c r="C668" s="26" t="s">
        <v>161</v>
      </c>
      <c r="D668" s="56">
        <f>82000+31956</f>
        <v>113956</v>
      </c>
      <c r="E668" s="56"/>
      <c r="F668" s="56">
        <f>SUM(D668:E668)</f>
        <v>113956</v>
      </c>
    </row>
    <row r="669" spans="1:6" ht="15">
      <c r="A669" s="41"/>
      <c r="B669" s="54"/>
      <c r="C669" s="26" t="s">
        <v>168</v>
      </c>
      <c r="D669" s="56">
        <v>100000</v>
      </c>
      <c r="E669" s="56"/>
      <c r="F669" s="56">
        <f>SUM(D669:E669)</f>
        <v>100000</v>
      </c>
    </row>
    <row r="670" spans="1:6" ht="15">
      <c r="A670" s="41"/>
      <c r="B670" s="54"/>
      <c r="C670" s="26"/>
      <c r="D670" s="56"/>
      <c r="E670" s="56"/>
      <c r="F670" s="56"/>
    </row>
    <row r="671" spans="1:6" ht="14.25">
      <c r="A671" s="57" t="s">
        <v>401</v>
      </c>
      <c r="B671" s="58"/>
      <c r="C671" s="59" t="s">
        <v>15</v>
      </c>
      <c r="D671" s="60">
        <f>D676+D684+D691+D698+D705+D712</f>
        <v>584477</v>
      </c>
      <c r="E671" s="60">
        <f>E676+E684+E691+E698+E705+E712</f>
        <v>0</v>
      </c>
      <c r="F671" s="60">
        <f>SUM(D671:E671)</f>
        <v>584477</v>
      </c>
    </row>
    <row r="672" spans="1:6" ht="15">
      <c r="A672" s="65" t="s">
        <v>402</v>
      </c>
      <c r="B672" s="63" t="s">
        <v>274</v>
      </c>
      <c r="C672" s="24" t="s">
        <v>275</v>
      </c>
      <c r="D672" s="64"/>
      <c r="E672" s="64"/>
      <c r="F672" s="64"/>
    </row>
    <row r="673" spans="1:6" ht="14.25">
      <c r="A673" s="41"/>
      <c r="B673" s="54"/>
      <c r="C673" s="59" t="s">
        <v>158</v>
      </c>
      <c r="D673" s="60">
        <f>SUM(D674:D674)</f>
        <v>103196</v>
      </c>
      <c r="E673" s="60">
        <f>SUM(E674:E674)</f>
        <v>0</v>
      </c>
      <c r="F673" s="60">
        <f>SUM(D673:E673)</f>
        <v>103196</v>
      </c>
    </row>
    <row r="674" spans="1:6" ht="15">
      <c r="A674" s="41"/>
      <c r="B674" s="54"/>
      <c r="C674" s="26" t="s">
        <v>159</v>
      </c>
      <c r="D674" s="56">
        <f>SUM(D676)</f>
        <v>103196</v>
      </c>
      <c r="E674" s="56"/>
      <c r="F674" s="56">
        <f>SUM(D674:E674)</f>
        <v>103196</v>
      </c>
    </row>
    <row r="675" spans="1:6" ht="15">
      <c r="A675" s="41"/>
      <c r="B675" s="54"/>
      <c r="C675" s="26"/>
      <c r="D675" s="56"/>
      <c r="E675" s="56"/>
      <c r="F675" s="56"/>
    </row>
    <row r="676" spans="1:6" ht="14.25">
      <c r="A676" s="41"/>
      <c r="B676" s="54"/>
      <c r="C676" s="59" t="s">
        <v>160</v>
      </c>
      <c r="D676" s="60">
        <f>SUM(D677:D678)</f>
        <v>103196</v>
      </c>
      <c r="E676" s="60">
        <f>SUM(E677:E678)</f>
        <v>0</v>
      </c>
      <c r="F676" s="60">
        <f>SUM(D676:E676)</f>
        <v>103196</v>
      </c>
    </row>
    <row r="677" spans="1:6" ht="15">
      <c r="A677" s="41"/>
      <c r="B677" s="54"/>
      <c r="C677" s="26" t="s">
        <v>161</v>
      </c>
      <c r="D677" s="56">
        <v>3196</v>
      </c>
      <c r="E677" s="56"/>
      <c r="F677" s="56">
        <f>SUM(D677:E677)</f>
        <v>3196</v>
      </c>
    </row>
    <row r="678" spans="1:6" ht="15">
      <c r="A678" s="41"/>
      <c r="B678" s="54"/>
      <c r="C678" s="26" t="s">
        <v>168</v>
      </c>
      <c r="D678" s="56">
        <v>100000</v>
      </c>
      <c r="E678" s="56"/>
      <c r="F678" s="56">
        <f>SUM(D678:E678)</f>
        <v>100000</v>
      </c>
    </row>
    <row r="679" spans="1:6" ht="15">
      <c r="A679" s="41"/>
      <c r="B679" s="54"/>
      <c r="C679" s="26"/>
      <c r="D679" s="56"/>
      <c r="E679" s="56"/>
      <c r="F679" s="56"/>
    </row>
    <row r="680" spans="1:6" ht="30">
      <c r="A680" s="65" t="s">
        <v>403</v>
      </c>
      <c r="B680" s="63" t="s">
        <v>280</v>
      </c>
      <c r="C680" s="24" t="s">
        <v>281</v>
      </c>
      <c r="D680" s="64"/>
      <c r="E680" s="64"/>
      <c r="F680" s="64"/>
    </row>
    <row r="681" spans="1:6" ht="14.25">
      <c r="A681" s="41"/>
      <c r="B681" s="54"/>
      <c r="C681" s="59" t="s">
        <v>158</v>
      </c>
      <c r="D681" s="60">
        <f>SUM(D682)</f>
        <v>127800</v>
      </c>
      <c r="E681" s="60">
        <f>SUM(E682)</f>
        <v>0</v>
      </c>
      <c r="F681" s="60">
        <f>SUM(D681:E681)</f>
        <v>127800</v>
      </c>
    </row>
    <row r="682" spans="1:6" ht="15">
      <c r="A682" s="41"/>
      <c r="B682" s="54"/>
      <c r="C682" s="26" t="s">
        <v>159</v>
      </c>
      <c r="D682" s="56">
        <f>SUM(D684)</f>
        <v>127800</v>
      </c>
      <c r="E682" s="56"/>
      <c r="F682" s="56">
        <f>SUM(D682:E682)</f>
        <v>127800</v>
      </c>
    </row>
    <row r="683" spans="1:6" ht="15">
      <c r="A683" s="41"/>
      <c r="B683" s="54"/>
      <c r="C683" s="26"/>
      <c r="D683" s="56"/>
      <c r="E683" s="56"/>
      <c r="F683" s="56"/>
    </row>
    <row r="684" spans="1:6" ht="14.25">
      <c r="A684" s="41"/>
      <c r="B684" s="54"/>
      <c r="C684" s="59" t="s">
        <v>160</v>
      </c>
      <c r="D684" s="60">
        <f>SUM(D685:D685)</f>
        <v>127800</v>
      </c>
      <c r="E684" s="60">
        <f>SUM(E685:E685)</f>
        <v>0</v>
      </c>
      <c r="F684" s="60">
        <f>SUM(D684:E684)</f>
        <v>127800</v>
      </c>
    </row>
    <row r="685" spans="1:6" ht="15">
      <c r="A685" s="41"/>
      <c r="B685" s="54"/>
      <c r="C685" s="26" t="s">
        <v>168</v>
      </c>
      <c r="D685" s="56">
        <v>127800</v>
      </c>
      <c r="E685" s="56"/>
      <c r="F685" s="56">
        <f>SUM(D685:E685)</f>
        <v>127800</v>
      </c>
    </row>
    <row r="686" spans="1:6" ht="15">
      <c r="A686" s="41"/>
      <c r="B686" s="54"/>
      <c r="C686" s="26"/>
      <c r="D686" s="56"/>
      <c r="E686" s="56"/>
      <c r="F686" s="56"/>
    </row>
    <row r="687" spans="1:6" ht="15">
      <c r="A687" s="65" t="s">
        <v>404</v>
      </c>
      <c r="B687" s="63" t="s">
        <v>284</v>
      </c>
      <c r="C687" s="24" t="s">
        <v>285</v>
      </c>
      <c r="D687" s="64"/>
      <c r="E687" s="64"/>
      <c r="F687" s="64"/>
    </row>
    <row r="688" spans="1:6" ht="14.25">
      <c r="A688" s="41"/>
      <c r="B688" s="54"/>
      <c r="C688" s="59" t="s">
        <v>158</v>
      </c>
      <c r="D688" s="60">
        <f>SUM(D689:D689)</f>
        <v>36746</v>
      </c>
      <c r="E688" s="60">
        <f>SUM(E689:E689)</f>
        <v>0</v>
      </c>
      <c r="F688" s="60">
        <f>SUM(D688:E688)</f>
        <v>36746</v>
      </c>
    </row>
    <row r="689" spans="1:6" ht="15">
      <c r="A689" s="41"/>
      <c r="B689" s="54"/>
      <c r="C689" s="26" t="s">
        <v>159</v>
      </c>
      <c r="D689" s="56">
        <f>SUM(D691)</f>
        <v>36746</v>
      </c>
      <c r="E689" s="56"/>
      <c r="F689" s="56">
        <f>SUM(D689:E689)</f>
        <v>36746</v>
      </c>
    </row>
    <row r="690" spans="1:6" ht="15">
      <c r="A690" s="41"/>
      <c r="B690" s="54"/>
      <c r="C690" s="26"/>
      <c r="D690" s="56"/>
      <c r="E690" s="56"/>
      <c r="F690" s="56"/>
    </row>
    <row r="691" spans="1:6" ht="14.25">
      <c r="A691" s="41"/>
      <c r="B691" s="54"/>
      <c r="C691" s="59" t="s">
        <v>160</v>
      </c>
      <c r="D691" s="60">
        <f>SUM(D692:D692)</f>
        <v>36746</v>
      </c>
      <c r="E691" s="60">
        <f>SUM(E692:E692)</f>
        <v>0</v>
      </c>
      <c r="F691" s="60">
        <f>SUM(D691:E691)</f>
        <v>36746</v>
      </c>
    </row>
    <row r="692" spans="1:6" ht="15">
      <c r="A692" s="41"/>
      <c r="B692" s="54"/>
      <c r="C692" s="26" t="s">
        <v>168</v>
      </c>
      <c r="D692" s="56">
        <v>36746</v>
      </c>
      <c r="E692" s="56"/>
      <c r="F692" s="56">
        <f>SUM(D692:E692)</f>
        <v>36746</v>
      </c>
    </row>
    <row r="693" spans="1:6" ht="15">
      <c r="A693" s="41"/>
      <c r="B693" s="54"/>
      <c r="C693" s="26"/>
      <c r="D693" s="56"/>
      <c r="E693" s="56"/>
      <c r="F693" s="56"/>
    </row>
    <row r="694" spans="1:6" ht="15">
      <c r="A694" s="65" t="s">
        <v>405</v>
      </c>
      <c r="B694" s="63" t="s">
        <v>301</v>
      </c>
      <c r="C694" s="24" t="s">
        <v>406</v>
      </c>
      <c r="D694" s="64"/>
      <c r="E694" s="64"/>
      <c r="F694" s="64"/>
    </row>
    <row r="695" spans="1:6" ht="14.25">
      <c r="A695" s="41"/>
      <c r="B695" s="54"/>
      <c r="C695" s="59" t="s">
        <v>158</v>
      </c>
      <c r="D695" s="60">
        <f>SUM(D696:D696)</f>
        <v>19173</v>
      </c>
      <c r="E695" s="60">
        <f>SUM(E696:E696)</f>
        <v>0</v>
      </c>
      <c r="F695" s="60">
        <f>SUM(D695:E695)</f>
        <v>19173</v>
      </c>
    </row>
    <row r="696" spans="1:6" ht="15">
      <c r="A696" s="41"/>
      <c r="B696" s="54"/>
      <c r="C696" s="26" t="s">
        <v>159</v>
      </c>
      <c r="D696" s="56">
        <f>SUM(D698)</f>
        <v>19173</v>
      </c>
      <c r="E696" s="56"/>
      <c r="F696" s="56">
        <f>SUM(D696:E696)</f>
        <v>19173</v>
      </c>
    </row>
    <row r="697" spans="1:6" ht="15">
      <c r="A697" s="41"/>
      <c r="B697" s="54"/>
      <c r="C697" s="26"/>
      <c r="D697" s="56"/>
      <c r="E697" s="56"/>
      <c r="F697" s="56"/>
    </row>
    <row r="698" spans="1:6" ht="14.25">
      <c r="A698" s="41"/>
      <c r="B698" s="54"/>
      <c r="C698" s="59" t="s">
        <v>160</v>
      </c>
      <c r="D698" s="60">
        <f>SUM(D699:D699)</f>
        <v>19173</v>
      </c>
      <c r="E698" s="60">
        <f>SUM(E699:E699)</f>
        <v>0</v>
      </c>
      <c r="F698" s="60">
        <f>SUM(D698:E698)</f>
        <v>19173</v>
      </c>
    </row>
    <row r="699" spans="1:6" ht="15">
      <c r="A699" s="41"/>
      <c r="B699" s="54"/>
      <c r="C699" s="26" t="s">
        <v>161</v>
      </c>
      <c r="D699" s="56">
        <v>19173</v>
      </c>
      <c r="E699" s="56"/>
      <c r="F699" s="56">
        <f>SUM(D699:E699)</f>
        <v>19173</v>
      </c>
    </row>
    <row r="700" spans="1:6" ht="15">
      <c r="A700" s="41"/>
      <c r="B700" s="54"/>
      <c r="C700" s="26"/>
      <c r="D700" s="56"/>
      <c r="E700" s="56"/>
      <c r="F700" s="56"/>
    </row>
    <row r="701" spans="1:6" ht="15">
      <c r="A701" s="65" t="s">
        <v>407</v>
      </c>
      <c r="B701" s="63" t="s">
        <v>209</v>
      </c>
      <c r="C701" s="24" t="s">
        <v>210</v>
      </c>
      <c r="D701" s="64"/>
      <c r="E701" s="64"/>
      <c r="F701" s="64"/>
    </row>
    <row r="702" spans="1:6" ht="14.25">
      <c r="A702" s="41"/>
      <c r="B702" s="54"/>
      <c r="C702" s="59" t="s">
        <v>158</v>
      </c>
      <c r="D702" s="60">
        <f>SUM(D703:D703)</f>
        <v>158912</v>
      </c>
      <c r="E702" s="60">
        <f>SUM(E703:E703)</f>
        <v>0</v>
      </c>
      <c r="F702" s="60">
        <f>SUM(D702:E702)</f>
        <v>158912</v>
      </c>
    </row>
    <row r="703" spans="1:6" ht="15">
      <c r="A703" s="41"/>
      <c r="B703" s="54"/>
      <c r="C703" s="26" t="s">
        <v>159</v>
      </c>
      <c r="D703" s="56">
        <f>SUM(D705)</f>
        <v>158912</v>
      </c>
      <c r="E703" s="56"/>
      <c r="F703" s="56">
        <f>SUM(D703:E703)</f>
        <v>158912</v>
      </c>
    </row>
    <row r="704" spans="1:6" ht="15">
      <c r="A704" s="41"/>
      <c r="B704" s="54"/>
      <c r="C704" s="26"/>
      <c r="D704" s="56"/>
      <c r="E704" s="56"/>
      <c r="F704" s="56"/>
    </row>
    <row r="705" spans="1:6" ht="14.25">
      <c r="A705" s="41"/>
      <c r="B705" s="54"/>
      <c r="C705" s="59" t="s">
        <v>160</v>
      </c>
      <c r="D705" s="60">
        <f>SUM(D706:D706)</f>
        <v>158912</v>
      </c>
      <c r="E705" s="60">
        <f>SUM(E706:E706)</f>
        <v>0</v>
      </c>
      <c r="F705" s="60">
        <f>SUM(D705:E705)</f>
        <v>158912</v>
      </c>
    </row>
    <row r="706" spans="1:6" ht="15">
      <c r="A706" s="41"/>
      <c r="B706" s="54"/>
      <c r="C706" s="26" t="s">
        <v>168</v>
      </c>
      <c r="D706" s="56">
        <v>158912</v>
      </c>
      <c r="E706" s="56"/>
      <c r="F706" s="56">
        <f>SUM(D706:E706)</f>
        <v>158912</v>
      </c>
    </row>
    <row r="707" spans="1:6" ht="15">
      <c r="A707" s="41"/>
      <c r="B707" s="54"/>
      <c r="C707" s="26"/>
      <c r="D707" s="56"/>
      <c r="E707" s="56"/>
      <c r="F707" s="56"/>
    </row>
    <row r="708" spans="1:6" s="66" customFormat="1" ht="15">
      <c r="A708" s="65" t="s">
        <v>408</v>
      </c>
      <c r="B708" s="63" t="s">
        <v>178</v>
      </c>
      <c r="C708" s="24" t="s">
        <v>179</v>
      </c>
      <c r="D708" s="64"/>
      <c r="E708" s="64"/>
      <c r="F708" s="64"/>
    </row>
    <row r="709" spans="1:6" ht="14.25">
      <c r="A709" s="41"/>
      <c r="B709" s="54"/>
      <c r="C709" s="59" t="s">
        <v>158</v>
      </c>
      <c r="D709" s="60">
        <f>SUM(D710:D710)</f>
        <v>138650</v>
      </c>
      <c r="E709" s="60">
        <f>SUM(E710:E710)</f>
        <v>0</v>
      </c>
      <c r="F709" s="60">
        <f>SUM(D709:E709)</f>
        <v>138650</v>
      </c>
    </row>
    <row r="710" spans="1:6" ht="15">
      <c r="A710" s="41"/>
      <c r="B710" s="54"/>
      <c r="C710" s="26" t="s">
        <v>159</v>
      </c>
      <c r="D710" s="56">
        <f>SUM(D712)</f>
        <v>138650</v>
      </c>
      <c r="E710" s="56"/>
      <c r="F710" s="56">
        <f>SUM(D710:E710)</f>
        <v>138650</v>
      </c>
    </row>
    <row r="711" spans="1:6" ht="15">
      <c r="A711" s="41"/>
      <c r="B711" s="54"/>
      <c r="C711" s="26"/>
      <c r="D711" s="56"/>
      <c r="E711" s="56"/>
      <c r="F711" s="56"/>
    </row>
    <row r="712" spans="1:6" ht="14.25">
      <c r="A712" s="41"/>
      <c r="B712" s="54"/>
      <c r="C712" s="59" t="s">
        <v>160</v>
      </c>
      <c r="D712" s="60">
        <f>SUM(D713:D713)</f>
        <v>138650</v>
      </c>
      <c r="E712" s="60">
        <f>SUM(E713:E713)</f>
        <v>0</v>
      </c>
      <c r="F712" s="60">
        <f>SUM(D712:E712)</f>
        <v>138650</v>
      </c>
    </row>
    <row r="713" spans="1:6" ht="15">
      <c r="A713" s="41"/>
      <c r="B713" s="54"/>
      <c r="C713" s="26" t="s">
        <v>168</v>
      </c>
      <c r="D713" s="56">
        <v>138650</v>
      </c>
      <c r="E713" s="56"/>
      <c r="F713" s="56">
        <f>SUM(D713:E713)</f>
        <v>138650</v>
      </c>
    </row>
    <row r="714" spans="1:6" ht="15">
      <c r="A714" s="41"/>
      <c r="B714" s="54"/>
      <c r="C714" s="26"/>
      <c r="D714" s="56"/>
      <c r="E714" s="56"/>
      <c r="F714" s="56"/>
    </row>
    <row r="715" spans="1:6" ht="14.25">
      <c r="A715" s="57" t="s">
        <v>409</v>
      </c>
      <c r="B715" s="58"/>
      <c r="C715" s="59" t="s">
        <v>16</v>
      </c>
      <c r="D715" s="60">
        <f>SUM(D721,D728,D735,D742,D749,D757)</f>
        <v>3082893</v>
      </c>
      <c r="E715" s="60">
        <f>SUM(E721,E735,E742,E749,E757)</f>
        <v>4674000</v>
      </c>
      <c r="F715" s="60">
        <f>SUM(D715:E715)</f>
        <v>7756893</v>
      </c>
    </row>
    <row r="716" spans="1:6" ht="15">
      <c r="A716" s="65" t="s">
        <v>410</v>
      </c>
      <c r="B716" s="63" t="s">
        <v>182</v>
      </c>
      <c r="C716" s="24" t="s">
        <v>183</v>
      </c>
      <c r="D716" s="64"/>
      <c r="E716" s="64"/>
      <c r="F716" s="64"/>
    </row>
    <row r="717" spans="1:6" ht="14.25">
      <c r="A717" s="41"/>
      <c r="B717" s="54"/>
      <c r="C717" s="59" t="s">
        <v>158</v>
      </c>
      <c r="D717" s="60">
        <f>SUM(D718:D719)</f>
        <v>1003164</v>
      </c>
      <c r="E717" s="60">
        <f>SUM(E718:E719)</f>
        <v>0</v>
      </c>
      <c r="F717" s="60">
        <f>SUM(D717:E717)</f>
        <v>1003164</v>
      </c>
    </row>
    <row r="718" spans="1:6" ht="15">
      <c r="A718" s="41"/>
      <c r="B718" s="54"/>
      <c r="C718" s="26" t="s">
        <v>159</v>
      </c>
      <c r="D718" s="56">
        <f>SUM(D721)</f>
        <v>1003164</v>
      </c>
      <c r="E718" s="56"/>
      <c r="F718" s="56">
        <f>SUM(D718:E718)</f>
        <v>1003164</v>
      </c>
    </row>
    <row r="719" spans="1:6" ht="15">
      <c r="A719" s="41"/>
      <c r="B719" s="54"/>
      <c r="C719" s="26" t="s">
        <v>411</v>
      </c>
      <c r="D719" s="56"/>
      <c r="E719" s="56"/>
      <c r="F719" s="56">
        <f>SUM(D719:E719)</f>
        <v>0</v>
      </c>
    </row>
    <row r="720" spans="1:6" ht="15">
      <c r="A720" s="41"/>
      <c r="B720" s="54"/>
      <c r="C720" s="26"/>
      <c r="D720" s="56"/>
      <c r="E720" s="56"/>
      <c r="F720" s="56"/>
    </row>
    <row r="721" spans="1:6" ht="14.25">
      <c r="A721" s="41"/>
      <c r="B721" s="54"/>
      <c r="C721" s="59" t="s">
        <v>160</v>
      </c>
      <c r="D721" s="60">
        <f>SUM(D722:D722)</f>
        <v>1003164</v>
      </c>
      <c r="E721" s="60">
        <f>SUM(E722:E722)</f>
        <v>0</v>
      </c>
      <c r="F721" s="60">
        <f>SUM(D721:E721)</f>
        <v>1003164</v>
      </c>
    </row>
    <row r="722" spans="1:6" ht="15">
      <c r="A722" s="41"/>
      <c r="B722" s="54"/>
      <c r="C722" s="26" t="s">
        <v>168</v>
      </c>
      <c r="D722" s="56">
        <v>1003164</v>
      </c>
      <c r="E722" s="56"/>
      <c r="F722" s="56">
        <f>SUM(D722:E722)</f>
        <v>1003164</v>
      </c>
    </row>
    <row r="723" spans="1:6" ht="15">
      <c r="A723" s="41"/>
      <c r="B723" s="54"/>
      <c r="C723" s="26"/>
      <c r="D723" s="56"/>
      <c r="E723" s="56"/>
      <c r="F723" s="56"/>
    </row>
    <row r="724" spans="1:6" ht="15">
      <c r="A724" s="65" t="s">
        <v>412</v>
      </c>
      <c r="B724" s="63" t="s">
        <v>249</v>
      </c>
      <c r="C724" s="24" t="s">
        <v>250</v>
      </c>
      <c r="D724" s="64"/>
      <c r="E724" s="64"/>
      <c r="F724" s="64"/>
    </row>
    <row r="725" spans="1:6" ht="14.25">
      <c r="A725" s="41"/>
      <c r="B725" s="54"/>
      <c r="C725" s="59" t="s">
        <v>158</v>
      </c>
      <c r="D725" s="60">
        <f>SUM(D726:D726)</f>
        <v>203000</v>
      </c>
      <c r="E725" s="60">
        <f>SUM(E726:E726)</f>
        <v>0</v>
      </c>
      <c r="F725" s="60">
        <f>SUM(D725:E725)</f>
        <v>203000</v>
      </c>
    </row>
    <row r="726" spans="1:6" ht="15">
      <c r="A726" s="41"/>
      <c r="B726" s="54"/>
      <c r="C726" s="26" t="s">
        <v>159</v>
      </c>
      <c r="D726" s="56">
        <f>SUM(D728)</f>
        <v>203000</v>
      </c>
      <c r="E726" s="56"/>
      <c r="F726" s="56">
        <f>SUM(D726:E726)</f>
        <v>203000</v>
      </c>
    </row>
    <row r="727" spans="1:6" ht="15">
      <c r="A727" s="41"/>
      <c r="B727" s="54"/>
      <c r="C727" s="26"/>
      <c r="D727" s="56"/>
      <c r="E727" s="56"/>
      <c r="F727" s="56"/>
    </row>
    <row r="728" spans="1:6" ht="14.25">
      <c r="A728" s="41"/>
      <c r="B728" s="54"/>
      <c r="C728" s="59" t="s">
        <v>160</v>
      </c>
      <c r="D728" s="60">
        <f>SUM(D729:D729)</f>
        <v>203000</v>
      </c>
      <c r="E728" s="60">
        <f>SUM(E729:E729)</f>
        <v>0</v>
      </c>
      <c r="F728" s="60">
        <f>SUM(D728:E728)</f>
        <v>203000</v>
      </c>
    </row>
    <row r="729" spans="1:6" ht="15">
      <c r="A729" s="41"/>
      <c r="B729" s="54"/>
      <c r="C729" s="26" t="s">
        <v>168</v>
      </c>
      <c r="D729" s="56">
        <f>'Lisa 5 (invest)'!D143</f>
        <v>203000</v>
      </c>
      <c r="E729" s="56"/>
      <c r="F729" s="56">
        <f>SUM(D729:E729)</f>
        <v>203000</v>
      </c>
    </row>
    <row r="730" spans="1:6" ht="15">
      <c r="A730" s="41"/>
      <c r="B730" s="54"/>
      <c r="C730" s="26"/>
      <c r="D730" s="56"/>
      <c r="E730" s="56"/>
      <c r="F730" s="56"/>
    </row>
    <row r="731" spans="1:6" ht="15">
      <c r="A731" s="65" t="s">
        <v>413</v>
      </c>
      <c r="B731" s="63" t="s">
        <v>185</v>
      </c>
      <c r="C731" s="24" t="s">
        <v>186</v>
      </c>
      <c r="D731" s="64"/>
      <c r="E731" s="64"/>
      <c r="F731" s="64"/>
    </row>
    <row r="732" spans="1:6" ht="14.25">
      <c r="A732" s="41"/>
      <c r="B732" s="54"/>
      <c r="C732" s="59" t="s">
        <v>158</v>
      </c>
      <c r="D732" s="60">
        <f>SUM(D733:D733)</f>
        <v>48740</v>
      </c>
      <c r="E732" s="60">
        <f>SUM(E733:E733)</f>
        <v>0</v>
      </c>
      <c r="F732" s="60">
        <f>SUM(D732:E732)</f>
        <v>48740</v>
      </c>
    </row>
    <row r="733" spans="1:6" ht="15">
      <c r="A733" s="41"/>
      <c r="B733" s="54"/>
      <c r="C733" s="26" t="s">
        <v>159</v>
      </c>
      <c r="D733" s="56">
        <f>SUM(D735)</f>
        <v>48740</v>
      </c>
      <c r="E733" s="56"/>
      <c r="F733" s="56">
        <f>SUM(D733:E733)</f>
        <v>48740</v>
      </c>
    </row>
    <row r="734" spans="1:6" ht="15">
      <c r="A734" s="41"/>
      <c r="B734" s="54"/>
      <c r="C734" s="26"/>
      <c r="D734" s="56"/>
      <c r="E734" s="56"/>
      <c r="F734" s="56"/>
    </row>
    <row r="735" spans="1:6" ht="14.25">
      <c r="A735" s="41"/>
      <c r="B735" s="54"/>
      <c r="C735" s="59" t="s">
        <v>160</v>
      </c>
      <c r="D735" s="60">
        <f>SUM(D736:D736)</f>
        <v>48740</v>
      </c>
      <c r="E735" s="60">
        <f>SUM(E736:E736)</f>
        <v>0</v>
      </c>
      <c r="F735" s="60">
        <f>SUM(D735:E735)</f>
        <v>48740</v>
      </c>
    </row>
    <row r="736" spans="1:6" ht="15">
      <c r="A736" s="41"/>
      <c r="B736" s="54"/>
      <c r="C736" s="26" t="s">
        <v>168</v>
      </c>
      <c r="D736" s="56">
        <f>'Lisa 5 (invest)'!D146</f>
        <v>48740</v>
      </c>
      <c r="E736" s="56"/>
      <c r="F736" s="56">
        <f>SUM(D736:E736)</f>
        <v>48740</v>
      </c>
    </row>
    <row r="737" spans="1:6" ht="15">
      <c r="A737" s="41"/>
      <c r="B737" s="54"/>
      <c r="C737" s="26"/>
      <c r="D737" s="56"/>
      <c r="E737" s="56"/>
      <c r="F737" s="56"/>
    </row>
    <row r="738" spans="1:6" ht="15">
      <c r="A738" s="65" t="s">
        <v>414</v>
      </c>
      <c r="B738" s="63" t="s">
        <v>254</v>
      </c>
      <c r="C738" s="24" t="s">
        <v>415</v>
      </c>
      <c r="D738" s="64"/>
      <c r="E738" s="64"/>
      <c r="F738" s="64"/>
    </row>
    <row r="739" spans="1:6" ht="14.25">
      <c r="A739" s="41"/>
      <c r="B739" s="54"/>
      <c r="C739" s="59" t="s">
        <v>158</v>
      </c>
      <c r="D739" s="60">
        <f>SUM(D740:D740)</f>
        <v>65000</v>
      </c>
      <c r="E739" s="60">
        <f>SUM(E740:E740)</f>
        <v>0</v>
      </c>
      <c r="F739" s="60">
        <f>SUM(D739:E739)</f>
        <v>65000</v>
      </c>
    </row>
    <row r="740" spans="1:6" ht="15">
      <c r="A740" s="41"/>
      <c r="B740" s="54"/>
      <c r="C740" s="26" t="s">
        <v>159</v>
      </c>
      <c r="D740" s="56">
        <f>SUM(D742)</f>
        <v>65000</v>
      </c>
      <c r="E740" s="56"/>
      <c r="F740" s="56">
        <f>SUM(D740:E740)</f>
        <v>65000</v>
      </c>
    </row>
    <row r="741" spans="1:6" ht="15">
      <c r="A741" s="41"/>
      <c r="B741" s="54"/>
      <c r="C741" s="26"/>
      <c r="D741" s="56"/>
      <c r="E741" s="56"/>
      <c r="F741" s="56"/>
    </row>
    <row r="742" spans="1:6" ht="14.25">
      <c r="A742" s="41"/>
      <c r="B742" s="54"/>
      <c r="C742" s="59" t="s">
        <v>160</v>
      </c>
      <c r="D742" s="60">
        <f>SUM(D743:D743)</f>
        <v>65000</v>
      </c>
      <c r="E742" s="60">
        <f>SUM(E743:E743)</f>
        <v>0</v>
      </c>
      <c r="F742" s="60">
        <f>SUM(D742:E742)</f>
        <v>65000</v>
      </c>
    </row>
    <row r="743" spans="1:6" ht="15">
      <c r="A743" s="41"/>
      <c r="B743" s="54"/>
      <c r="C743" s="26" t="s">
        <v>168</v>
      </c>
      <c r="D743" s="56">
        <f>'Lisa 5 (invest)'!D148</f>
        <v>65000</v>
      </c>
      <c r="E743" s="56"/>
      <c r="F743" s="56">
        <f>SUM(D743:E743)</f>
        <v>65000</v>
      </c>
    </row>
    <row r="744" spans="1:6" ht="15">
      <c r="A744" s="41"/>
      <c r="B744" s="54"/>
      <c r="C744" s="26"/>
      <c r="D744" s="56"/>
      <c r="E744" s="56"/>
      <c r="F744" s="56"/>
    </row>
    <row r="745" spans="1:6" ht="15">
      <c r="A745" s="65" t="s">
        <v>416</v>
      </c>
      <c r="B745" s="63" t="s">
        <v>188</v>
      </c>
      <c r="C745" s="24" t="s">
        <v>189</v>
      </c>
      <c r="D745" s="64"/>
      <c r="E745" s="64"/>
      <c r="F745" s="64"/>
    </row>
    <row r="746" spans="1:6" ht="14.25">
      <c r="A746" s="41"/>
      <c r="B746" s="54"/>
      <c r="C746" s="59" t="s">
        <v>158</v>
      </c>
      <c r="D746" s="60">
        <f>SUM(D747:D747)</f>
        <v>300000</v>
      </c>
      <c r="E746" s="60">
        <f>SUM(E747:E747)</f>
        <v>0</v>
      </c>
      <c r="F746" s="60">
        <f>SUM(D746:E746)</f>
        <v>300000</v>
      </c>
    </row>
    <row r="747" spans="1:6" ht="15">
      <c r="A747" s="41"/>
      <c r="B747" s="54"/>
      <c r="C747" s="26" t="s">
        <v>159</v>
      </c>
      <c r="D747" s="56">
        <f>SUM(D749)</f>
        <v>300000</v>
      </c>
      <c r="E747" s="56"/>
      <c r="F747" s="56">
        <f>SUM(D747:E747)</f>
        <v>300000</v>
      </c>
    </row>
    <row r="748" spans="1:6" ht="15">
      <c r="A748" s="41"/>
      <c r="B748" s="54"/>
      <c r="C748" s="26"/>
      <c r="D748" s="56"/>
      <c r="E748" s="56"/>
      <c r="F748" s="56"/>
    </row>
    <row r="749" spans="1:6" ht="14.25">
      <c r="A749" s="41"/>
      <c r="B749" s="54"/>
      <c r="C749" s="59" t="s">
        <v>160</v>
      </c>
      <c r="D749" s="60">
        <f>SUM(D750:D750)</f>
        <v>300000</v>
      </c>
      <c r="E749" s="60">
        <f>SUM(E750:E750)</f>
        <v>0</v>
      </c>
      <c r="F749" s="60">
        <f>SUM(D749:E749)</f>
        <v>300000</v>
      </c>
    </row>
    <row r="750" spans="1:6" ht="15">
      <c r="A750" s="41"/>
      <c r="B750" s="54"/>
      <c r="C750" s="26" t="s">
        <v>168</v>
      </c>
      <c r="D750" s="56">
        <f>'Lisa 5 (invest)'!D150</f>
        <v>300000</v>
      </c>
      <c r="E750" s="56"/>
      <c r="F750" s="56">
        <f>SUM(D750:E750)</f>
        <v>300000</v>
      </c>
    </row>
    <row r="751" spans="1:6" ht="15">
      <c r="A751" s="41"/>
      <c r="B751" s="54"/>
      <c r="C751" s="26"/>
      <c r="D751" s="56"/>
      <c r="E751" s="56"/>
      <c r="F751" s="56"/>
    </row>
    <row r="752" spans="1:6" ht="15">
      <c r="A752" s="65" t="s">
        <v>417</v>
      </c>
      <c r="B752" s="63" t="s">
        <v>418</v>
      </c>
      <c r="C752" s="24" t="s">
        <v>419</v>
      </c>
      <c r="D752" s="64"/>
      <c r="E752" s="64"/>
      <c r="F752" s="64"/>
    </row>
    <row r="753" spans="1:6" ht="14.25">
      <c r="A753" s="41"/>
      <c r="B753" s="54"/>
      <c r="C753" s="59" t="s">
        <v>158</v>
      </c>
      <c r="D753" s="60">
        <f>SUM(D754:D755)</f>
        <v>1462989</v>
      </c>
      <c r="E753" s="60">
        <f>SUM(E754:E755)</f>
        <v>4674000</v>
      </c>
      <c r="F753" s="60">
        <f>SUM(D753:E753)</f>
        <v>6136989</v>
      </c>
    </row>
    <row r="754" spans="1:6" ht="15">
      <c r="A754" s="41"/>
      <c r="B754" s="54"/>
      <c r="C754" s="26" t="s">
        <v>159</v>
      </c>
      <c r="D754" s="56">
        <f>SUM(D757)</f>
        <v>1462989</v>
      </c>
      <c r="E754" s="56"/>
      <c r="F754" s="56">
        <f>SUM(D754:E754)</f>
        <v>1462989</v>
      </c>
    </row>
    <row r="755" spans="1:6" ht="15">
      <c r="A755" s="41"/>
      <c r="B755" s="54"/>
      <c r="C755" s="26" t="s">
        <v>411</v>
      </c>
      <c r="D755" s="56"/>
      <c r="E755" s="56">
        <v>4674000</v>
      </c>
      <c r="F755" s="56">
        <f>SUM(D755:E755)</f>
        <v>4674000</v>
      </c>
    </row>
    <row r="756" spans="1:6" ht="15">
      <c r="A756" s="41"/>
      <c r="B756" s="54"/>
      <c r="C756" s="26"/>
      <c r="D756" s="56"/>
      <c r="E756" s="56"/>
      <c r="F756" s="56"/>
    </row>
    <row r="757" spans="1:6" ht="14.25">
      <c r="A757" s="41"/>
      <c r="B757" s="54"/>
      <c r="C757" s="59" t="s">
        <v>160</v>
      </c>
      <c r="D757" s="60">
        <f>SUM(D758:D759)</f>
        <v>1462989</v>
      </c>
      <c r="E757" s="60">
        <f>SUM(E759:E759)</f>
        <v>4674000</v>
      </c>
      <c r="F757" s="60">
        <f>SUM(D757:E757)</f>
        <v>6136989</v>
      </c>
    </row>
    <row r="758" spans="1:6" ht="15">
      <c r="A758" s="41"/>
      <c r="B758" s="54"/>
      <c r="C758" s="26" t="s">
        <v>161</v>
      </c>
      <c r="D758" s="56">
        <v>305556</v>
      </c>
      <c r="E758" s="56"/>
      <c r="F758" s="56">
        <f>SUM(D758:E758)</f>
        <v>305556</v>
      </c>
    </row>
    <row r="759" spans="1:6" ht="15">
      <c r="A759" s="41"/>
      <c r="B759" s="54"/>
      <c r="C759" s="26" t="s">
        <v>168</v>
      </c>
      <c r="D759" s="56">
        <f>'Lisa 5 (invest)'!D152</f>
        <v>1157433</v>
      </c>
      <c r="E759" s="56">
        <f>'Lisa 5 (invest)'!E152</f>
        <v>4674000</v>
      </c>
      <c r="F759" s="56">
        <f>SUM(D759:E759)</f>
        <v>5831433</v>
      </c>
    </row>
    <row r="760" spans="1:6" ht="15">
      <c r="A760" s="41"/>
      <c r="B760" s="54"/>
      <c r="C760" s="26"/>
      <c r="D760" s="56"/>
      <c r="E760" s="56"/>
      <c r="F760" s="56"/>
    </row>
    <row r="761" spans="1:6" ht="14.25">
      <c r="A761" s="57" t="s">
        <v>420</v>
      </c>
      <c r="B761" s="58"/>
      <c r="C761" s="59" t="s">
        <v>17</v>
      </c>
      <c r="D761" s="60">
        <f>SUM(D766,D773)</f>
        <v>4182</v>
      </c>
      <c r="E761" s="60">
        <f>SUM(E766)</f>
        <v>0</v>
      </c>
      <c r="F761" s="60">
        <f>SUM(D761:E761)</f>
        <v>4182</v>
      </c>
    </row>
    <row r="762" spans="1:6" ht="30">
      <c r="A762" s="65" t="s">
        <v>421</v>
      </c>
      <c r="B762" s="63">
        <v>10700</v>
      </c>
      <c r="C762" s="24" t="s">
        <v>422</v>
      </c>
      <c r="D762" s="64"/>
      <c r="E762" s="64"/>
      <c r="F762" s="64"/>
    </row>
    <row r="763" spans="1:6" ht="14.25">
      <c r="A763" s="41"/>
      <c r="B763" s="54"/>
      <c r="C763" s="59" t="s">
        <v>158</v>
      </c>
      <c r="D763" s="60">
        <f>SUM(D764:D764)</f>
        <v>1682</v>
      </c>
      <c r="E763" s="60">
        <f>SUM(E764:E764)</f>
        <v>0</v>
      </c>
      <c r="F763" s="60">
        <f>SUM(D763:E763)</f>
        <v>1682</v>
      </c>
    </row>
    <row r="764" spans="1:6" ht="15">
      <c r="A764" s="41"/>
      <c r="B764" s="54"/>
      <c r="C764" s="26" t="s">
        <v>159</v>
      </c>
      <c r="D764" s="56">
        <f>SUM(D766)</f>
        <v>1682</v>
      </c>
      <c r="E764" s="56"/>
      <c r="F764" s="56">
        <f>SUM(D764:E764)</f>
        <v>1682</v>
      </c>
    </row>
    <row r="765" spans="1:6" ht="15">
      <c r="A765" s="41"/>
      <c r="B765" s="54"/>
      <c r="C765" s="26"/>
      <c r="D765" s="56"/>
      <c r="E765" s="56"/>
      <c r="F765" s="56"/>
    </row>
    <row r="766" spans="1:6" ht="14.25">
      <c r="A766" s="41"/>
      <c r="B766" s="54"/>
      <c r="C766" s="59" t="s">
        <v>160</v>
      </c>
      <c r="D766" s="60">
        <f>SUM(D767:D767)</f>
        <v>1682</v>
      </c>
      <c r="E766" s="60">
        <f>SUM(E767:E767)</f>
        <v>0</v>
      </c>
      <c r="F766" s="60">
        <f>SUM(D766:E766)</f>
        <v>1682</v>
      </c>
    </row>
    <row r="767" spans="1:6" ht="15">
      <c r="A767" s="41"/>
      <c r="B767" s="54"/>
      <c r="C767" s="26" t="s">
        <v>168</v>
      </c>
      <c r="D767" s="56">
        <f>'Lisa 5 (invest)'!D157</f>
        <v>1682</v>
      </c>
      <c r="E767" s="56"/>
      <c r="F767" s="56">
        <f>SUM(D767:E767)</f>
        <v>1682</v>
      </c>
    </row>
    <row r="768" spans="1:6" ht="15">
      <c r="A768" s="41"/>
      <c r="B768" s="54"/>
      <c r="C768" s="26"/>
      <c r="D768" s="56"/>
      <c r="E768" s="56"/>
      <c r="F768" s="56"/>
    </row>
    <row r="769" spans="1:6" ht="30">
      <c r="A769" s="65" t="s">
        <v>423</v>
      </c>
      <c r="B769" s="63">
        <v>10401</v>
      </c>
      <c r="C769" s="24" t="s">
        <v>424</v>
      </c>
      <c r="D769" s="64"/>
      <c r="E769" s="64"/>
      <c r="F769" s="64"/>
    </row>
    <row r="770" spans="1:6" ht="14.25">
      <c r="A770" s="41"/>
      <c r="B770" s="54"/>
      <c r="C770" s="59" t="s">
        <v>158</v>
      </c>
      <c r="D770" s="60">
        <f>SUM(D771:D771)</f>
        <v>2500</v>
      </c>
      <c r="E770" s="60">
        <f>SUM(E771:E771)</f>
        <v>0</v>
      </c>
      <c r="F770" s="60">
        <f>SUM(D770:E770)</f>
        <v>2500</v>
      </c>
    </row>
    <row r="771" spans="1:6" ht="15">
      <c r="A771" s="41"/>
      <c r="B771" s="54"/>
      <c r="C771" s="26" t="s">
        <v>159</v>
      </c>
      <c r="D771" s="56">
        <f>SUM(D773)</f>
        <v>2500</v>
      </c>
      <c r="E771" s="56"/>
      <c r="F771" s="56">
        <f>SUM(D771:E771)</f>
        <v>2500</v>
      </c>
    </row>
    <row r="772" spans="1:6" ht="15">
      <c r="A772" s="41"/>
      <c r="B772" s="54"/>
      <c r="C772" s="26"/>
      <c r="D772" s="56"/>
      <c r="E772" s="56"/>
      <c r="F772" s="56"/>
    </row>
    <row r="773" spans="1:6" ht="14.25">
      <c r="A773" s="41"/>
      <c r="B773" s="54"/>
      <c r="C773" s="59" t="s">
        <v>160</v>
      </c>
      <c r="D773" s="60">
        <f>SUM(D774:D774)</f>
        <v>2500</v>
      </c>
      <c r="E773" s="60">
        <f>SUM(E774:E774)</f>
        <v>0</v>
      </c>
      <c r="F773" s="60">
        <f>SUM(D773:E773)</f>
        <v>2500</v>
      </c>
    </row>
    <row r="774" spans="1:6" ht="15">
      <c r="A774" s="41"/>
      <c r="B774" s="54"/>
      <c r="C774" s="26" t="s">
        <v>168</v>
      </c>
      <c r="D774" s="56">
        <f>'Lisa 5 (invest)'!D159</f>
        <v>2500</v>
      </c>
      <c r="E774" s="56"/>
      <c r="F774" s="56">
        <f>SUM(D774:E774)</f>
        <v>2500</v>
      </c>
    </row>
    <row r="775" spans="1:6" ht="15">
      <c r="A775" s="41"/>
      <c r="B775" s="54"/>
      <c r="C775" s="26"/>
      <c r="D775" s="56"/>
      <c r="E775" s="56"/>
      <c r="F775" s="56"/>
    </row>
    <row r="776" spans="1:6" ht="14.25">
      <c r="A776" s="57" t="s">
        <v>425</v>
      </c>
      <c r="B776" s="58"/>
      <c r="C776" s="59" t="s">
        <v>426</v>
      </c>
      <c r="D776" s="56"/>
      <c r="E776" s="56"/>
      <c r="F776" s="56"/>
    </row>
    <row r="777" spans="1:6" ht="14.25">
      <c r="A777" s="41"/>
      <c r="B777" s="54"/>
      <c r="C777" s="59" t="s">
        <v>152</v>
      </c>
      <c r="D777" s="60">
        <f>SUM(D784,D791,D799,D809,D816,D824,D832,D839,D846,D853,D860,D867,D874,D882,D889,D896,D905)</f>
        <v>9901504</v>
      </c>
      <c r="E777" s="60">
        <f>SUM(E784,E791,E799,E809,E816,E824,E832,E839,E846,E853,E874,E882,E889,E896,E905)</f>
        <v>0</v>
      </c>
      <c r="F777" s="60">
        <f aca="true" t="shared" si="6" ref="F777:F782">SUM(D777:E777)</f>
        <v>9901504</v>
      </c>
    </row>
    <row r="778" spans="1:6" ht="14.25">
      <c r="A778" s="41"/>
      <c r="B778" s="54"/>
      <c r="C778" s="59" t="s">
        <v>153</v>
      </c>
      <c r="D778" s="60">
        <f>SUM(D779:D781)</f>
        <v>9901504</v>
      </c>
      <c r="E778" s="60">
        <f>SUM(E779:E781)</f>
        <v>0</v>
      </c>
      <c r="F778" s="60">
        <f t="shared" si="6"/>
        <v>9901504</v>
      </c>
    </row>
    <row r="779" spans="1:6" ht="15">
      <c r="A779" s="41"/>
      <c r="B779" s="54"/>
      <c r="C779" s="26" t="s">
        <v>147</v>
      </c>
      <c r="D779" s="56">
        <f>D788+D796+D813+D820+D828+D843+D850+D857+D864+D871+D878+D886+D893+D900+D909</f>
        <v>2750992</v>
      </c>
      <c r="E779" s="56">
        <f>E788+E796</f>
        <v>0</v>
      </c>
      <c r="F779" s="56">
        <f t="shared" si="6"/>
        <v>2750992</v>
      </c>
    </row>
    <row r="780" spans="1:6" ht="15">
      <c r="A780" s="41"/>
      <c r="B780" s="54"/>
      <c r="C780" s="26" t="s">
        <v>148</v>
      </c>
      <c r="D780" s="56">
        <f>D804+D836+D901</f>
        <v>1280512</v>
      </c>
      <c r="E780" s="56">
        <f>E804</f>
        <v>0</v>
      </c>
      <c r="F780" s="56">
        <f t="shared" si="6"/>
        <v>1280512</v>
      </c>
    </row>
    <row r="781" spans="1:6" ht="15">
      <c r="A781" s="41"/>
      <c r="B781" s="54"/>
      <c r="C781" s="26" t="s">
        <v>149</v>
      </c>
      <c r="D781" s="56">
        <f>SUM(D805)</f>
        <v>5870000</v>
      </c>
      <c r="E781" s="56">
        <f>SUM(E805)</f>
        <v>0</v>
      </c>
      <c r="F781" s="56">
        <f t="shared" si="6"/>
        <v>5870000</v>
      </c>
    </row>
    <row r="782" spans="1:6" ht="14.25">
      <c r="A782" s="57" t="s">
        <v>427</v>
      </c>
      <c r="B782" s="54"/>
      <c r="C782" s="59" t="s">
        <v>8</v>
      </c>
      <c r="D782" s="60">
        <f>SUM(D787,D795,D803)</f>
        <v>7562008</v>
      </c>
      <c r="E782" s="60">
        <f>SUM(E787,E795,E803)</f>
        <v>0</v>
      </c>
      <c r="F782" s="60">
        <f t="shared" si="6"/>
        <v>7562008</v>
      </c>
    </row>
    <row r="783" spans="1:6" ht="15">
      <c r="A783" s="65" t="s">
        <v>428</v>
      </c>
      <c r="B783" s="63" t="s">
        <v>166</v>
      </c>
      <c r="C783" s="24" t="s">
        <v>199</v>
      </c>
      <c r="D783" s="64"/>
      <c r="E783" s="64"/>
      <c r="F783" s="64"/>
    </row>
    <row r="784" spans="1:6" ht="14.25">
      <c r="A784" s="41"/>
      <c r="B784" s="54"/>
      <c r="C784" s="59" t="s">
        <v>158</v>
      </c>
      <c r="D784" s="60">
        <f>SUM(D785)</f>
        <v>239617</v>
      </c>
      <c r="E784" s="60">
        <f>SUM(E785)</f>
        <v>0</v>
      </c>
      <c r="F784" s="60">
        <f>SUM(D784:E784)</f>
        <v>239617</v>
      </c>
    </row>
    <row r="785" spans="1:6" ht="15">
      <c r="A785" s="41"/>
      <c r="B785" s="54"/>
      <c r="C785" s="26" t="s">
        <v>159</v>
      </c>
      <c r="D785" s="56">
        <f>SUM(D787)</f>
        <v>239617</v>
      </c>
      <c r="E785" s="56"/>
      <c r="F785" s="56">
        <f>SUM(D785:E785)</f>
        <v>239617</v>
      </c>
    </row>
    <row r="786" spans="1:6" ht="15">
      <c r="A786" s="41"/>
      <c r="B786" s="54"/>
      <c r="C786" s="26"/>
      <c r="D786" s="56"/>
      <c r="E786" s="56"/>
      <c r="F786" s="56"/>
    </row>
    <row r="787" spans="1:6" ht="14.25">
      <c r="A787" s="41"/>
      <c r="B787" s="54"/>
      <c r="C787" s="59" t="s">
        <v>160</v>
      </c>
      <c r="D787" s="60">
        <f>SUM(D788:D788)</f>
        <v>239617</v>
      </c>
      <c r="E787" s="60">
        <f>SUM(E788:E788)</f>
        <v>0</v>
      </c>
      <c r="F787" s="60">
        <f>SUM(D787:E787)</f>
        <v>239617</v>
      </c>
    </row>
    <row r="788" spans="1:6" ht="15">
      <c r="A788" s="41"/>
      <c r="B788" s="54"/>
      <c r="C788" s="26" t="s">
        <v>161</v>
      </c>
      <c r="D788" s="56">
        <f>235683+3934</f>
        <v>239617</v>
      </c>
      <c r="E788" s="56"/>
      <c r="F788" s="56">
        <f>SUM(D788:E788)</f>
        <v>239617</v>
      </c>
    </row>
    <row r="789" spans="1:6" ht="15">
      <c r="A789" s="41"/>
      <c r="B789" s="54"/>
      <c r="C789" s="26"/>
      <c r="D789" s="56"/>
      <c r="E789" s="56"/>
      <c r="F789" s="56"/>
    </row>
    <row r="790" spans="1:6" ht="30">
      <c r="A790" s="41" t="s">
        <v>429</v>
      </c>
      <c r="B790" s="63" t="s">
        <v>430</v>
      </c>
      <c r="C790" s="24" t="s">
        <v>431</v>
      </c>
      <c r="D790" s="64"/>
      <c r="E790" s="64"/>
      <c r="F790" s="64"/>
    </row>
    <row r="791" spans="1:6" ht="14.25">
      <c r="A791" s="41"/>
      <c r="B791" s="54"/>
      <c r="C791" s="59" t="s">
        <v>158</v>
      </c>
      <c r="D791" s="60">
        <f>SUM(D792)</f>
        <v>325008</v>
      </c>
      <c r="E791" s="60">
        <f>SUM(E792)</f>
        <v>0</v>
      </c>
      <c r="F791" s="60">
        <f>SUM(D791:E791)</f>
        <v>325008</v>
      </c>
    </row>
    <row r="792" spans="1:6" ht="15">
      <c r="A792" s="41"/>
      <c r="B792" s="54"/>
      <c r="C792" s="26" t="s">
        <v>159</v>
      </c>
      <c r="D792" s="56">
        <f>SUM(D795)</f>
        <v>325008</v>
      </c>
      <c r="E792" s="56"/>
      <c r="F792" s="56">
        <f>SUM(D792:E792)</f>
        <v>325008</v>
      </c>
    </row>
    <row r="793" spans="1:6" ht="15">
      <c r="A793" s="41"/>
      <c r="B793" s="54"/>
      <c r="C793" s="26" t="s">
        <v>299</v>
      </c>
      <c r="D793" s="56">
        <v>325008</v>
      </c>
      <c r="E793" s="56"/>
      <c r="F793" s="56">
        <f>SUM(D793:E793)</f>
        <v>325008</v>
      </c>
    </row>
    <row r="794" spans="1:6" ht="15">
      <c r="A794" s="41"/>
      <c r="B794" s="54"/>
      <c r="C794" s="26"/>
      <c r="D794" s="56"/>
      <c r="E794" s="56"/>
      <c r="F794" s="56"/>
    </row>
    <row r="795" spans="1:6" ht="14.25">
      <c r="A795" s="41"/>
      <c r="B795" s="54"/>
      <c r="C795" s="59" t="s">
        <v>160</v>
      </c>
      <c r="D795" s="60">
        <f>SUM(D796:D796)</f>
        <v>325008</v>
      </c>
      <c r="E795" s="60">
        <f>SUM(E796:E796)</f>
        <v>0</v>
      </c>
      <c r="F795" s="60">
        <f>SUM(D795:E795)</f>
        <v>325008</v>
      </c>
    </row>
    <row r="796" spans="1:6" ht="15">
      <c r="A796" s="41"/>
      <c r="B796" s="54"/>
      <c r="C796" s="26" t="s">
        <v>161</v>
      </c>
      <c r="D796" s="56">
        <v>325008</v>
      </c>
      <c r="E796" s="56"/>
      <c r="F796" s="56">
        <f>SUM(D796:E796)</f>
        <v>325008</v>
      </c>
    </row>
    <row r="797" spans="1:6" ht="15">
      <c r="A797" s="41"/>
      <c r="B797" s="54"/>
      <c r="C797" s="26"/>
      <c r="D797" s="56"/>
      <c r="E797" s="56"/>
      <c r="F797" s="56"/>
    </row>
    <row r="798" spans="1:6" ht="15">
      <c r="A798" s="65" t="s">
        <v>432</v>
      </c>
      <c r="B798" s="63" t="s">
        <v>241</v>
      </c>
      <c r="C798" s="24" t="s">
        <v>242</v>
      </c>
      <c r="D798" s="64"/>
      <c r="E798" s="64"/>
      <c r="F798" s="64"/>
    </row>
    <row r="799" spans="1:6" ht="14.25">
      <c r="A799" s="41"/>
      <c r="B799" s="54"/>
      <c r="C799" s="59" t="s">
        <v>158</v>
      </c>
      <c r="D799" s="60">
        <f>SUM(D800)</f>
        <v>6997383</v>
      </c>
      <c r="E799" s="60">
        <f>SUM(E800)</f>
        <v>0</v>
      </c>
      <c r="F799" s="60">
        <f>SUM(D799:E799)</f>
        <v>6997383</v>
      </c>
    </row>
    <row r="800" spans="1:6" ht="15">
      <c r="A800" s="41"/>
      <c r="B800" s="54"/>
      <c r="C800" s="26" t="s">
        <v>159</v>
      </c>
      <c r="D800" s="56">
        <f>SUM(D803)</f>
        <v>6997383</v>
      </c>
      <c r="E800" s="56"/>
      <c r="F800" s="56">
        <f>SUM(D800:E800)</f>
        <v>6997383</v>
      </c>
    </row>
    <row r="801" spans="1:6" ht="15">
      <c r="A801" s="41"/>
      <c r="B801" s="54"/>
      <c r="C801" s="26" t="s">
        <v>433</v>
      </c>
      <c r="D801" s="56">
        <v>127823</v>
      </c>
      <c r="E801" s="56"/>
      <c r="F801" s="56">
        <f>SUM(D801:E801)</f>
        <v>127823</v>
      </c>
    </row>
    <row r="802" spans="1:6" ht="15">
      <c r="A802" s="41"/>
      <c r="B802" s="54"/>
      <c r="C802" s="26"/>
      <c r="D802" s="56"/>
      <c r="E802" s="56"/>
      <c r="F802" s="56"/>
    </row>
    <row r="803" spans="1:6" ht="14.25">
      <c r="A803" s="41"/>
      <c r="B803" s="54"/>
      <c r="C803" s="59" t="s">
        <v>160</v>
      </c>
      <c r="D803" s="60">
        <f>SUM(D804:D805)</f>
        <v>6997383</v>
      </c>
      <c r="E803" s="60">
        <f>SUM(E804:E804)</f>
        <v>0</v>
      </c>
      <c r="F803" s="60">
        <f>SUM(D803:E803)</f>
        <v>6997383</v>
      </c>
    </row>
    <row r="804" spans="1:6" ht="15">
      <c r="A804" s="41"/>
      <c r="B804" s="54"/>
      <c r="C804" s="26" t="s">
        <v>168</v>
      </c>
      <c r="D804" s="56">
        <v>1127383</v>
      </c>
      <c r="E804" s="56"/>
      <c r="F804" s="56">
        <f>SUM(D804:E804)</f>
        <v>1127383</v>
      </c>
    </row>
    <row r="805" spans="1:6" ht="15">
      <c r="A805" s="41"/>
      <c r="B805" s="54"/>
      <c r="C805" s="26" t="s">
        <v>243</v>
      </c>
      <c r="D805" s="56">
        <v>5870000</v>
      </c>
      <c r="E805" s="56"/>
      <c r="F805" s="56">
        <f>SUM(D805:E805)</f>
        <v>5870000</v>
      </c>
    </row>
    <row r="806" spans="1:6" ht="15">
      <c r="A806" s="41"/>
      <c r="B806" s="54"/>
      <c r="C806" s="26"/>
      <c r="D806" s="56"/>
      <c r="E806" s="56"/>
      <c r="F806" s="56"/>
    </row>
    <row r="807" spans="1:6" ht="14.25">
      <c r="A807" s="57" t="s">
        <v>434</v>
      </c>
      <c r="B807" s="54"/>
      <c r="C807" s="59" t="s">
        <v>10</v>
      </c>
      <c r="D807" s="60">
        <f>SUM(D812,D819)</f>
        <v>40967</v>
      </c>
      <c r="E807" s="60"/>
      <c r="F807" s="60">
        <f>SUM(D807:E807)</f>
        <v>40967</v>
      </c>
    </row>
    <row r="808" spans="1:6" ht="15">
      <c r="A808" s="65" t="s">
        <v>435</v>
      </c>
      <c r="B808" s="63" t="s">
        <v>436</v>
      </c>
      <c r="C808" s="24" t="s">
        <v>437</v>
      </c>
      <c r="D808" s="56"/>
      <c r="E808" s="56"/>
      <c r="F808" s="56"/>
    </row>
    <row r="809" spans="1:6" ht="14.25">
      <c r="A809" s="65"/>
      <c r="B809" s="63"/>
      <c r="C809" s="59" t="s">
        <v>158</v>
      </c>
      <c r="D809" s="60">
        <f>SUM(D810)</f>
        <v>28185</v>
      </c>
      <c r="E809" s="60">
        <f>SUM(E810)</f>
        <v>0</v>
      </c>
      <c r="F809" s="60">
        <f>SUM(D809:E809)</f>
        <v>28185</v>
      </c>
    </row>
    <row r="810" spans="1:6" ht="15">
      <c r="A810" s="65"/>
      <c r="B810" s="63"/>
      <c r="C810" s="26" t="s">
        <v>159</v>
      </c>
      <c r="D810" s="56">
        <f>SUM(D813)</f>
        <v>28185</v>
      </c>
      <c r="E810" s="56">
        <f>SUM(E813)</f>
        <v>0</v>
      </c>
      <c r="F810" s="56">
        <f>SUM(D810:E810)</f>
        <v>28185</v>
      </c>
    </row>
    <row r="811" spans="1:6" ht="15">
      <c r="A811" s="65"/>
      <c r="B811" s="63"/>
      <c r="C811" s="24"/>
      <c r="D811" s="56"/>
      <c r="E811" s="56"/>
      <c r="F811" s="56"/>
    </row>
    <row r="812" spans="1:6" ht="14.25">
      <c r="A812" s="41"/>
      <c r="B812" s="54"/>
      <c r="C812" s="59" t="s">
        <v>160</v>
      </c>
      <c r="D812" s="60">
        <f>SUM(D813)</f>
        <v>28185</v>
      </c>
      <c r="E812" s="60">
        <f>SUM(E813)</f>
        <v>0</v>
      </c>
      <c r="F812" s="60">
        <f>SUM(D812:E812)</f>
        <v>28185</v>
      </c>
    </row>
    <row r="813" spans="1:6" ht="15">
      <c r="A813" s="41"/>
      <c r="B813" s="54"/>
      <c r="C813" s="26" t="s">
        <v>161</v>
      </c>
      <c r="D813" s="56">
        <v>28185</v>
      </c>
      <c r="E813" s="56"/>
      <c r="F813" s="56">
        <f>SUM(D813:E813)</f>
        <v>28185</v>
      </c>
    </row>
    <row r="814" spans="1:6" ht="15">
      <c r="A814" s="41"/>
      <c r="B814" s="54"/>
      <c r="C814" s="26"/>
      <c r="D814" s="56"/>
      <c r="E814" s="56"/>
      <c r="F814" s="56"/>
    </row>
    <row r="815" spans="1:6" ht="15">
      <c r="A815" s="41" t="s">
        <v>438</v>
      </c>
      <c r="B815" s="63" t="s">
        <v>174</v>
      </c>
      <c r="C815" s="24" t="s">
        <v>175</v>
      </c>
      <c r="D815" s="56"/>
      <c r="E815" s="56"/>
      <c r="F815" s="56"/>
    </row>
    <row r="816" spans="1:6" ht="14.25">
      <c r="A816" s="41"/>
      <c r="B816" s="63"/>
      <c r="C816" s="59" t="s">
        <v>158</v>
      </c>
      <c r="D816" s="60">
        <f>SUM(D817)</f>
        <v>12782</v>
      </c>
      <c r="E816" s="60">
        <f>SUM(E817)</f>
        <v>0</v>
      </c>
      <c r="F816" s="60">
        <f>SUM(D816:E816)</f>
        <v>12782</v>
      </c>
    </row>
    <row r="817" spans="1:6" ht="15">
      <c r="A817" s="41"/>
      <c r="B817" s="63"/>
      <c r="C817" s="26" t="s">
        <v>159</v>
      </c>
      <c r="D817" s="56">
        <f>SUM(D819)</f>
        <v>12782</v>
      </c>
      <c r="E817" s="56">
        <f>SUM(E819)</f>
        <v>0</v>
      </c>
      <c r="F817" s="56">
        <f>SUM(D817:E817)</f>
        <v>12782</v>
      </c>
    </row>
    <row r="818" spans="1:6" ht="15">
      <c r="A818" s="41"/>
      <c r="B818" s="63"/>
      <c r="C818" s="26"/>
      <c r="D818" s="56"/>
      <c r="E818" s="56"/>
      <c r="F818" s="56">
        <f>SUM(D818:E818)</f>
        <v>0</v>
      </c>
    </row>
    <row r="819" spans="1:6" ht="14.25">
      <c r="A819" s="41"/>
      <c r="B819" s="54"/>
      <c r="C819" s="59" t="s">
        <v>160</v>
      </c>
      <c r="D819" s="60">
        <f>SUM(D820)</f>
        <v>12782</v>
      </c>
      <c r="E819" s="60">
        <f>SUM(E820)</f>
        <v>0</v>
      </c>
      <c r="F819" s="60">
        <f>SUM(D819:E819)</f>
        <v>12782</v>
      </c>
    </row>
    <row r="820" spans="1:6" ht="15">
      <c r="A820" s="41"/>
      <c r="B820" s="54"/>
      <c r="C820" s="26" t="s">
        <v>161</v>
      </c>
      <c r="D820" s="56">
        <v>12782</v>
      </c>
      <c r="E820" s="56"/>
      <c r="F820" s="56">
        <f>SUM(D820:E820)</f>
        <v>12782</v>
      </c>
    </row>
    <row r="821" spans="1:6" ht="15">
      <c r="A821" s="41"/>
      <c r="B821" s="54"/>
      <c r="C821" s="26"/>
      <c r="D821" s="56"/>
      <c r="E821" s="56"/>
      <c r="F821" s="56"/>
    </row>
    <row r="822" spans="1:6" ht="14.25">
      <c r="A822" s="57" t="s">
        <v>439</v>
      </c>
      <c r="B822" s="58"/>
      <c r="C822" s="59" t="s">
        <v>11</v>
      </c>
      <c r="D822" s="60">
        <f>SUM(D827)</f>
        <v>73325</v>
      </c>
      <c r="E822" s="60">
        <f>SUM(E827)</f>
        <v>0</v>
      </c>
      <c r="F822" s="60">
        <f>SUM(D822:E822)</f>
        <v>73325</v>
      </c>
    </row>
    <row r="823" spans="1:6" ht="15">
      <c r="A823" s="65" t="s">
        <v>440</v>
      </c>
      <c r="B823" s="63" t="s">
        <v>205</v>
      </c>
      <c r="C823" s="24" t="s">
        <v>441</v>
      </c>
      <c r="D823" s="56"/>
      <c r="E823" s="56"/>
      <c r="F823" s="56"/>
    </row>
    <row r="824" spans="1:6" ht="14.25">
      <c r="A824" s="41"/>
      <c r="B824" s="54"/>
      <c r="C824" s="59" t="s">
        <v>158</v>
      </c>
      <c r="D824" s="60">
        <f>SUM(D825)</f>
        <v>73325</v>
      </c>
      <c r="E824" s="60">
        <f>SUM(E825)</f>
        <v>0</v>
      </c>
      <c r="F824" s="60">
        <f>SUM(D824:E824)</f>
        <v>73325</v>
      </c>
    </row>
    <row r="825" spans="1:6" ht="15">
      <c r="A825" s="41"/>
      <c r="B825" s="54"/>
      <c r="C825" s="26" t="s">
        <v>159</v>
      </c>
      <c r="D825" s="56">
        <f>SUM(D827)</f>
        <v>73325</v>
      </c>
      <c r="E825" s="56">
        <f>SUM(E827)</f>
        <v>0</v>
      </c>
      <c r="F825" s="56">
        <f>SUM(D825:E825)</f>
        <v>73325</v>
      </c>
    </row>
    <row r="826" spans="1:6" ht="15">
      <c r="A826" s="41"/>
      <c r="B826" s="54"/>
      <c r="C826" s="26"/>
      <c r="D826" s="56"/>
      <c r="E826" s="56"/>
      <c r="F826" s="56"/>
    </row>
    <row r="827" spans="1:6" ht="14.25">
      <c r="A827" s="41"/>
      <c r="B827" s="54"/>
      <c r="C827" s="59" t="s">
        <v>160</v>
      </c>
      <c r="D827" s="60">
        <f>SUM(D828)</f>
        <v>73325</v>
      </c>
      <c r="E827" s="60">
        <f>SUM(E828)</f>
        <v>0</v>
      </c>
      <c r="F827" s="60">
        <f>SUM(D827:E827)</f>
        <v>73325</v>
      </c>
    </row>
    <row r="828" spans="1:6" ht="15">
      <c r="A828" s="41"/>
      <c r="B828" s="54"/>
      <c r="C828" s="26" t="s">
        <v>161</v>
      </c>
      <c r="D828" s="56">
        <v>73325</v>
      </c>
      <c r="E828" s="56"/>
      <c r="F828" s="56">
        <f>SUM(D828:E828)</f>
        <v>73325</v>
      </c>
    </row>
    <row r="829" spans="1:6" ht="15">
      <c r="A829" s="41"/>
      <c r="B829" s="54"/>
      <c r="C829" s="26"/>
      <c r="D829" s="56"/>
      <c r="E829" s="56"/>
      <c r="F829" s="56"/>
    </row>
    <row r="830" spans="1:6" ht="14.25">
      <c r="A830" s="57" t="s">
        <v>442</v>
      </c>
      <c r="B830" s="58"/>
      <c r="C830" s="59" t="s">
        <v>15</v>
      </c>
      <c r="D830" s="60">
        <f>SUM(D835,D842,D849,D856,D863,D870,D877)</f>
        <v>494793</v>
      </c>
      <c r="E830" s="60">
        <f>SUM(E849)</f>
        <v>0</v>
      </c>
      <c r="F830" s="60">
        <f>SUM(D830:E830)</f>
        <v>494793</v>
      </c>
    </row>
    <row r="831" spans="1:6" ht="15">
      <c r="A831" s="65" t="s">
        <v>443</v>
      </c>
      <c r="B831" s="63" t="s">
        <v>274</v>
      </c>
      <c r="C831" s="24" t="s">
        <v>275</v>
      </c>
      <c r="D831" s="64"/>
      <c r="E831" s="64"/>
      <c r="F831" s="64"/>
    </row>
    <row r="832" spans="1:6" ht="14.25">
      <c r="A832" s="41"/>
      <c r="B832" s="54"/>
      <c r="C832" s="59" t="s">
        <v>158</v>
      </c>
      <c r="D832" s="60">
        <f>SUM(D833:D833)</f>
        <v>111912</v>
      </c>
      <c r="E832" s="60">
        <f>SUM(E833:E833)</f>
        <v>0</v>
      </c>
      <c r="F832" s="60">
        <f>SUM(D832:E832)</f>
        <v>111912</v>
      </c>
    </row>
    <row r="833" spans="1:6" ht="15">
      <c r="A833" s="41"/>
      <c r="B833" s="54"/>
      <c r="C833" s="26" t="s">
        <v>159</v>
      </c>
      <c r="D833" s="56">
        <f>SUM(D835)</f>
        <v>111912</v>
      </c>
      <c r="E833" s="56"/>
      <c r="F833" s="56">
        <f>SUM(D833:E833)</f>
        <v>111912</v>
      </c>
    </row>
    <row r="834" spans="1:6" ht="15">
      <c r="A834" s="41"/>
      <c r="B834" s="54"/>
      <c r="C834" s="26"/>
      <c r="D834" s="56"/>
      <c r="E834" s="56"/>
      <c r="F834" s="56"/>
    </row>
    <row r="835" spans="1:6" ht="14.25">
      <c r="A835" s="41"/>
      <c r="B835" s="54"/>
      <c r="C835" s="59" t="s">
        <v>160</v>
      </c>
      <c r="D835" s="60">
        <f>SUM(D836:D836)</f>
        <v>111912</v>
      </c>
      <c r="E835" s="60">
        <f>SUM(E836:E836)</f>
        <v>0</v>
      </c>
      <c r="F835" s="60">
        <f>SUM(D835:E835)</f>
        <v>111912</v>
      </c>
    </row>
    <row r="836" spans="1:6" ht="15">
      <c r="A836" s="41"/>
      <c r="B836" s="54"/>
      <c r="C836" s="26" t="s">
        <v>168</v>
      </c>
      <c r="D836" s="56">
        <f>63912+48000</f>
        <v>111912</v>
      </c>
      <c r="E836" s="56"/>
      <c r="F836" s="56">
        <f>SUM(D836:E836)</f>
        <v>111912</v>
      </c>
    </row>
    <row r="837" spans="1:6" ht="14.25">
      <c r="A837" s="57"/>
      <c r="B837" s="58"/>
      <c r="C837" s="59"/>
      <c r="D837" s="60"/>
      <c r="E837" s="60"/>
      <c r="F837" s="60"/>
    </row>
    <row r="838" spans="1:6" ht="15">
      <c r="A838" s="65" t="s">
        <v>444</v>
      </c>
      <c r="B838" s="63" t="s">
        <v>277</v>
      </c>
      <c r="C838" s="24" t="s">
        <v>278</v>
      </c>
      <c r="D838" s="64"/>
      <c r="E838" s="64"/>
      <c r="F838" s="64"/>
    </row>
    <row r="839" spans="1:6" ht="14.25">
      <c r="A839" s="41"/>
      <c r="B839" s="54"/>
      <c r="C839" s="59" t="s">
        <v>158</v>
      </c>
      <c r="D839" s="60">
        <f>SUM(D840:D840)</f>
        <v>166170</v>
      </c>
      <c r="E839" s="60">
        <f>SUM(E840:E840)</f>
        <v>0</v>
      </c>
      <c r="F839" s="60">
        <f>SUM(D839:E839)</f>
        <v>166170</v>
      </c>
    </row>
    <row r="840" spans="1:6" ht="15">
      <c r="A840" s="41"/>
      <c r="B840" s="54"/>
      <c r="C840" s="26" t="s">
        <v>159</v>
      </c>
      <c r="D840" s="56">
        <f>SUM(D842)</f>
        <v>166170</v>
      </c>
      <c r="E840" s="56"/>
      <c r="F840" s="56">
        <f>SUM(D840:E840)</f>
        <v>166170</v>
      </c>
    </row>
    <row r="841" spans="1:6" ht="15">
      <c r="A841" s="41"/>
      <c r="B841" s="54"/>
      <c r="C841" s="26"/>
      <c r="D841" s="56"/>
      <c r="E841" s="56"/>
      <c r="F841" s="56"/>
    </row>
    <row r="842" spans="1:6" ht="14.25">
      <c r="A842" s="41"/>
      <c r="B842" s="54"/>
      <c r="C842" s="59" t="s">
        <v>160</v>
      </c>
      <c r="D842" s="60">
        <f>SUM(D843:D843)</f>
        <v>166170</v>
      </c>
      <c r="E842" s="60">
        <f>SUM(E843:E843)</f>
        <v>0</v>
      </c>
      <c r="F842" s="60">
        <f>SUM(D842:E842)</f>
        <v>166170</v>
      </c>
    </row>
    <row r="843" spans="1:6" ht="15">
      <c r="A843" s="41"/>
      <c r="B843" s="54"/>
      <c r="C843" s="26" t="s">
        <v>161</v>
      </c>
      <c r="D843" s="56">
        <v>166170</v>
      </c>
      <c r="E843" s="56"/>
      <c r="F843" s="56">
        <f>SUM(D843:E843)</f>
        <v>166170</v>
      </c>
    </row>
    <row r="844" spans="1:6" ht="14.25">
      <c r="A844" s="57"/>
      <c r="B844" s="58"/>
      <c r="C844" s="59"/>
      <c r="D844" s="60"/>
      <c r="E844" s="60"/>
      <c r="F844" s="60"/>
    </row>
    <row r="845" spans="1:6" ht="30">
      <c r="A845" s="65" t="s">
        <v>445</v>
      </c>
      <c r="B845" s="63" t="s">
        <v>280</v>
      </c>
      <c r="C845" s="24" t="s">
        <v>446</v>
      </c>
      <c r="D845" s="64"/>
      <c r="E845" s="64"/>
      <c r="F845" s="64"/>
    </row>
    <row r="846" spans="1:6" ht="14.25">
      <c r="A846" s="41"/>
      <c r="B846" s="54"/>
      <c r="C846" s="59" t="s">
        <v>158</v>
      </c>
      <c r="D846" s="60">
        <f>SUM(D847:D847)</f>
        <v>63504</v>
      </c>
      <c r="E846" s="60">
        <f>SUM(E847:E847)</f>
        <v>0</v>
      </c>
      <c r="F846" s="60">
        <f>SUM(D846:E846)</f>
        <v>63504</v>
      </c>
    </row>
    <row r="847" spans="1:6" ht="15">
      <c r="A847" s="41"/>
      <c r="B847" s="54"/>
      <c r="C847" s="26" t="s">
        <v>159</v>
      </c>
      <c r="D847" s="56">
        <f>SUM(D849)</f>
        <v>63504</v>
      </c>
      <c r="E847" s="56"/>
      <c r="F847" s="56">
        <f>SUM(D847:E847)</f>
        <v>63504</v>
      </c>
    </row>
    <row r="848" spans="1:6" ht="15">
      <c r="A848" s="41"/>
      <c r="B848" s="54"/>
      <c r="C848" s="26"/>
      <c r="D848" s="56"/>
      <c r="E848" s="56"/>
      <c r="F848" s="56"/>
    </row>
    <row r="849" spans="1:6" ht="14.25">
      <c r="A849" s="41"/>
      <c r="B849" s="54"/>
      <c r="C849" s="59" t="s">
        <v>160</v>
      </c>
      <c r="D849" s="60">
        <f>SUM(D850:D850)</f>
        <v>63504</v>
      </c>
      <c r="E849" s="60">
        <f>SUM(E850:E850)</f>
        <v>0</v>
      </c>
      <c r="F849" s="60">
        <f>SUM(D849:E849)</f>
        <v>63504</v>
      </c>
    </row>
    <row r="850" spans="1:6" ht="15">
      <c r="A850" s="41"/>
      <c r="B850" s="54"/>
      <c r="C850" s="26" t="s">
        <v>161</v>
      </c>
      <c r="D850" s="56">
        <v>63504</v>
      </c>
      <c r="E850" s="56"/>
      <c r="F850" s="56">
        <f>SUM(D850:E850)</f>
        <v>63504</v>
      </c>
    </row>
    <row r="851" spans="1:6" ht="14.25">
      <c r="A851" s="57"/>
      <c r="B851" s="58"/>
      <c r="C851" s="59"/>
      <c r="D851" s="60"/>
      <c r="E851" s="60"/>
      <c r="F851" s="60"/>
    </row>
    <row r="852" spans="1:6" ht="15">
      <c r="A852" s="65" t="s">
        <v>447</v>
      </c>
      <c r="B852" s="63" t="s">
        <v>304</v>
      </c>
      <c r="C852" s="24" t="s">
        <v>305</v>
      </c>
      <c r="D852" s="64"/>
      <c r="E852" s="64"/>
      <c r="F852" s="64"/>
    </row>
    <row r="853" spans="1:6" ht="14.25">
      <c r="A853" s="41"/>
      <c r="B853" s="54"/>
      <c r="C853" s="59" t="s">
        <v>158</v>
      </c>
      <c r="D853" s="60">
        <f>SUM(D854:D854)</f>
        <v>11504</v>
      </c>
      <c r="E853" s="60">
        <f>SUM(E854:E854)</f>
        <v>0</v>
      </c>
      <c r="F853" s="60">
        <f>SUM(D853:E853)</f>
        <v>11504</v>
      </c>
    </row>
    <row r="854" spans="1:6" ht="15">
      <c r="A854" s="41"/>
      <c r="B854" s="54"/>
      <c r="C854" s="26" t="s">
        <v>159</v>
      </c>
      <c r="D854" s="56">
        <f>SUM(D856)</f>
        <v>11504</v>
      </c>
      <c r="E854" s="56"/>
      <c r="F854" s="56">
        <f>SUM(D854:E854)</f>
        <v>11504</v>
      </c>
    </row>
    <row r="855" spans="1:6" ht="15">
      <c r="A855" s="41"/>
      <c r="B855" s="54"/>
      <c r="C855" s="26"/>
      <c r="D855" s="56"/>
      <c r="E855" s="56"/>
      <c r="F855" s="56"/>
    </row>
    <row r="856" spans="1:6" ht="14.25">
      <c r="A856" s="41"/>
      <c r="B856" s="54"/>
      <c r="C856" s="59" t="s">
        <v>160</v>
      </c>
      <c r="D856" s="60">
        <f>SUM(D857:D857)</f>
        <v>11504</v>
      </c>
      <c r="E856" s="60">
        <f>SUM(E857:E857)</f>
        <v>0</v>
      </c>
      <c r="F856" s="60">
        <f>SUM(D856:E856)</f>
        <v>11504</v>
      </c>
    </row>
    <row r="857" spans="1:6" ht="15">
      <c r="A857" s="41"/>
      <c r="B857" s="54"/>
      <c r="C857" s="26" t="s">
        <v>161</v>
      </c>
      <c r="D857" s="56">
        <v>11504</v>
      </c>
      <c r="E857" s="56"/>
      <c r="F857" s="56">
        <f>SUM(D857:E857)</f>
        <v>11504</v>
      </c>
    </row>
    <row r="858" spans="1:6" ht="14.25">
      <c r="A858" s="57"/>
      <c r="B858" s="58"/>
      <c r="C858" s="59"/>
      <c r="D858" s="60"/>
      <c r="E858" s="60"/>
      <c r="F858" s="60"/>
    </row>
    <row r="859" spans="1:6" ht="15">
      <c r="A859" s="65" t="s">
        <v>448</v>
      </c>
      <c r="B859" s="63" t="s">
        <v>449</v>
      </c>
      <c r="C859" s="24" t="s">
        <v>450</v>
      </c>
      <c r="D859" s="64"/>
      <c r="E859" s="64"/>
      <c r="F859" s="64"/>
    </row>
    <row r="860" spans="1:6" ht="14.25">
      <c r="A860" s="41"/>
      <c r="B860" s="54"/>
      <c r="C860" s="59" t="s">
        <v>158</v>
      </c>
      <c r="D860" s="60">
        <f>SUM(D861:D861)</f>
        <v>110000</v>
      </c>
      <c r="E860" s="60">
        <f>SUM(E861:E861)</f>
        <v>0</v>
      </c>
      <c r="F860" s="60">
        <f>SUM(D860:E860)</f>
        <v>110000</v>
      </c>
    </row>
    <row r="861" spans="1:6" ht="15">
      <c r="A861" s="41"/>
      <c r="B861" s="54"/>
      <c r="C861" s="26" t="s">
        <v>159</v>
      </c>
      <c r="D861" s="56">
        <f>SUM(D863)</f>
        <v>110000</v>
      </c>
      <c r="E861" s="56"/>
      <c r="F861" s="56">
        <f>SUM(D861:E861)</f>
        <v>110000</v>
      </c>
    </row>
    <row r="862" spans="1:6" ht="15">
      <c r="A862" s="41"/>
      <c r="B862" s="54"/>
      <c r="C862" s="26"/>
      <c r="D862" s="56"/>
      <c r="E862" s="56"/>
      <c r="F862" s="56"/>
    </row>
    <row r="863" spans="1:6" ht="14.25">
      <c r="A863" s="41"/>
      <c r="B863" s="54"/>
      <c r="C863" s="59" t="s">
        <v>160</v>
      </c>
      <c r="D863" s="60">
        <f>SUM(D864:D864)</f>
        <v>110000</v>
      </c>
      <c r="E863" s="60">
        <f>SUM(E864:E864)</f>
        <v>0</v>
      </c>
      <c r="F863" s="60">
        <f>SUM(D863:E863)</f>
        <v>110000</v>
      </c>
    </row>
    <row r="864" spans="1:6" ht="15">
      <c r="A864" s="41"/>
      <c r="B864" s="54"/>
      <c r="C864" s="26" t="s">
        <v>161</v>
      </c>
      <c r="D864" s="56">
        <f>92033+9789+8178</f>
        <v>110000</v>
      </c>
      <c r="E864" s="56"/>
      <c r="F864" s="56">
        <f>SUM(D864:E864)</f>
        <v>110000</v>
      </c>
    </row>
    <row r="865" spans="1:6" ht="14.25">
      <c r="A865" s="57"/>
      <c r="B865" s="58"/>
      <c r="C865" s="59"/>
      <c r="D865" s="60"/>
      <c r="E865" s="60"/>
      <c r="F865" s="60"/>
    </row>
    <row r="866" spans="1:6" ht="15">
      <c r="A866" s="65" t="s">
        <v>451</v>
      </c>
      <c r="B866" s="63" t="s">
        <v>452</v>
      </c>
      <c r="C866" s="24" t="s">
        <v>453</v>
      </c>
      <c r="D866" s="64"/>
      <c r="E866" s="64"/>
      <c r="F866" s="64"/>
    </row>
    <row r="867" spans="1:6" ht="14.25">
      <c r="A867" s="41"/>
      <c r="B867" s="54"/>
      <c r="C867" s="59" t="s">
        <v>158</v>
      </c>
      <c r="D867" s="60">
        <f>SUM(D868:D868)</f>
        <v>22500</v>
      </c>
      <c r="E867" s="60">
        <f>SUM(E868:E868)</f>
        <v>0</v>
      </c>
      <c r="F867" s="60">
        <f>SUM(D867:E867)</f>
        <v>22500</v>
      </c>
    </row>
    <row r="868" spans="1:6" ht="15">
      <c r="A868" s="41"/>
      <c r="B868" s="54"/>
      <c r="C868" s="26" t="s">
        <v>159</v>
      </c>
      <c r="D868" s="56">
        <f>SUM(D870)</f>
        <v>22500</v>
      </c>
      <c r="E868" s="56"/>
      <c r="F868" s="56">
        <f>SUM(D868:E868)</f>
        <v>22500</v>
      </c>
    </row>
    <row r="869" spans="1:6" ht="15">
      <c r="A869" s="41"/>
      <c r="B869" s="54"/>
      <c r="C869" s="26"/>
      <c r="D869" s="56"/>
      <c r="E869" s="56"/>
      <c r="F869" s="56"/>
    </row>
    <row r="870" spans="1:6" ht="14.25">
      <c r="A870" s="41"/>
      <c r="B870" s="54"/>
      <c r="C870" s="59" t="s">
        <v>160</v>
      </c>
      <c r="D870" s="60">
        <f>SUM(D871:D871)</f>
        <v>22500</v>
      </c>
      <c r="E870" s="60">
        <f>SUM(E871:E871)</f>
        <v>0</v>
      </c>
      <c r="F870" s="60">
        <f>SUM(D870:E870)</f>
        <v>22500</v>
      </c>
    </row>
    <row r="871" spans="1:6" ht="15">
      <c r="A871" s="41"/>
      <c r="B871" s="54"/>
      <c r="C871" s="26" t="s">
        <v>161</v>
      </c>
      <c r="D871" s="56">
        <f>30678-8178</f>
        <v>22500</v>
      </c>
      <c r="E871" s="56"/>
      <c r="F871" s="56">
        <f>SUM(D871:E871)</f>
        <v>22500</v>
      </c>
    </row>
    <row r="872" spans="1:6" ht="14.25">
      <c r="A872" s="57"/>
      <c r="B872" s="58"/>
      <c r="C872" s="59"/>
      <c r="D872" s="60"/>
      <c r="E872" s="60"/>
      <c r="F872" s="60"/>
    </row>
    <row r="873" spans="1:6" ht="15">
      <c r="A873" s="65" t="s">
        <v>454</v>
      </c>
      <c r="B873" s="63" t="s">
        <v>455</v>
      </c>
      <c r="C873" s="24" t="s">
        <v>456</v>
      </c>
      <c r="D873" s="64"/>
      <c r="E873" s="64"/>
      <c r="F873" s="64"/>
    </row>
    <row r="874" spans="1:6" ht="14.25">
      <c r="A874" s="41"/>
      <c r="B874" s="54"/>
      <c r="C874" s="59" t="s">
        <v>158</v>
      </c>
      <c r="D874" s="60">
        <f>SUM(D875:D875)</f>
        <v>9203</v>
      </c>
      <c r="E874" s="60">
        <f>SUM(E875:E875)</f>
        <v>0</v>
      </c>
      <c r="F874" s="60">
        <f>SUM(D874:E874)</f>
        <v>9203</v>
      </c>
    </row>
    <row r="875" spans="1:6" ht="15">
      <c r="A875" s="41"/>
      <c r="B875" s="54"/>
      <c r="C875" s="26" t="s">
        <v>159</v>
      </c>
      <c r="D875" s="56">
        <f>SUM(D877)</f>
        <v>9203</v>
      </c>
      <c r="E875" s="56"/>
      <c r="F875" s="56">
        <f>SUM(D875:E875)</f>
        <v>9203</v>
      </c>
    </row>
    <row r="876" spans="1:6" ht="15">
      <c r="A876" s="41"/>
      <c r="B876" s="54"/>
      <c r="C876" s="26"/>
      <c r="D876" s="56"/>
      <c r="E876" s="56"/>
      <c r="F876" s="56"/>
    </row>
    <row r="877" spans="1:6" ht="14.25">
      <c r="A877" s="41"/>
      <c r="B877" s="54"/>
      <c r="C877" s="59" t="s">
        <v>160</v>
      </c>
      <c r="D877" s="60">
        <f>SUM(D878:D878)</f>
        <v>9203</v>
      </c>
      <c r="E877" s="60">
        <f>SUM(E878:E878)</f>
        <v>0</v>
      </c>
      <c r="F877" s="60">
        <f>SUM(D877:E877)</f>
        <v>9203</v>
      </c>
    </row>
    <row r="878" spans="1:6" ht="15">
      <c r="A878" s="41"/>
      <c r="B878" s="54"/>
      <c r="C878" s="26" t="s">
        <v>161</v>
      </c>
      <c r="D878" s="56">
        <v>9203</v>
      </c>
      <c r="E878" s="56"/>
      <c r="F878" s="56">
        <f>SUM(D878:E878)</f>
        <v>9203</v>
      </c>
    </row>
    <row r="879" spans="1:6" ht="14.25">
      <c r="A879" s="57"/>
      <c r="B879" s="58"/>
      <c r="C879" s="59"/>
      <c r="D879" s="60"/>
      <c r="E879" s="60"/>
      <c r="F879" s="60"/>
    </row>
    <row r="880" spans="1:6" ht="14.25">
      <c r="A880" s="57" t="s">
        <v>457</v>
      </c>
      <c r="B880" s="58"/>
      <c r="C880" s="59" t="s">
        <v>16</v>
      </c>
      <c r="D880" s="60">
        <f>SUM(D885,D892,D899)</f>
        <v>1682614</v>
      </c>
      <c r="E880" s="60">
        <f>SUM(E885,E892)</f>
        <v>0</v>
      </c>
      <c r="F880" s="60">
        <f>SUM(D880:E880)</f>
        <v>1682614</v>
      </c>
    </row>
    <row r="881" spans="1:6" ht="15">
      <c r="A881" s="65" t="s">
        <v>458</v>
      </c>
      <c r="B881" s="63" t="s">
        <v>182</v>
      </c>
      <c r="C881" s="24" t="s">
        <v>183</v>
      </c>
      <c r="D881" s="64"/>
      <c r="E881" s="64"/>
      <c r="F881" s="64"/>
    </row>
    <row r="882" spans="1:6" ht="14.25">
      <c r="A882" s="41"/>
      <c r="B882" s="54"/>
      <c r="C882" s="59" t="s">
        <v>158</v>
      </c>
      <c r="D882" s="60">
        <f>SUM(D883)</f>
        <v>604164</v>
      </c>
      <c r="E882" s="60">
        <f>SUM(E883)</f>
        <v>0</v>
      </c>
      <c r="F882" s="60">
        <f>SUM(D882:E882)</f>
        <v>604164</v>
      </c>
    </row>
    <row r="883" spans="1:6" ht="15">
      <c r="A883" s="41"/>
      <c r="B883" s="54"/>
      <c r="C883" s="26" t="s">
        <v>159</v>
      </c>
      <c r="D883" s="56">
        <f>SUM(D885)</f>
        <v>604164</v>
      </c>
      <c r="E883" s="56"/>
      <c r="F883" s="56">
        <f>SUM(D883:E883)</f>
        <v>604164</v>
      </c>
    </row>
    <row r="884" spans="1:6" ht="15">
      <c r="A884" s="41"/>
      <c r="B884" s="54"/>
      <c r="C884" s="26"/>
      <c r="D884" s="56"/>
      <c r="E884" s="56"/>
      <c r="F884" s="56"/>
    </row>
    <row r="885" spans="1:6" ht="14.25">
      <c r="A885" s="41"/>
      <c r="B885" s="54"/>
      <c r="C885" s="59" t="s">
        <v>160</v>
      </c>
      <c r="D885" s="60">
        <f>SUM(D886:D886)</f>
        <v>604164</v>
      </c>
      <c r="E885" s="60">
        <f>SUM(E886:E886)</f>
        <v>0</v>
      </c>
      <c r="F885" s="60">
        <f>SUM(D885:E885)</f>
        <v>604164</v>
      </c>
    </row>
    <row r="886" spans="1:6" ht="15">
      <c r="A886" s="41"/>
      <c r="B886" s="54"/>
      <c r="C886" s="26" t="s">
        <v>161</v>
      </c>
      <c r="D886" s="56">
        <v>604164</v>
      </c>
      <c r="E886" s="56"/>
      <c r="F886" s="56">
        <f>SUM(D886:E886)</f>
        <v>604164</v>
      </c>
    </row>
    <row r="887" spans="1:6" ht="15">
      <c r="A887" s="41"/>
      <c r="B887" s="54"/>
      <c r="C887" s="26"/>
      <c r="D887" s="56"/>
      <c r="E887" s="56"/>
      <c r="F887" s="56"/>
    </row>
    <row r="888" spans="1:6" ht="15">
      <c r="A888" s="65" t="s">
        <v>459</v>
      </c>
      <c r="B888" s="63" t="s">
        <v>185</v>
      </c>
      <c r="C888" s="24" t="s">
        <v>186</v>
      </c>
      <c r="D888" s="64"/>
      <c r="E888" s="64"/>
      <c r="F888" s="64"/>
    </row>
    <row r="889" spans="1:6" ht="14.25">
      <c r="A889" s="41"/>
      <c r="B889" s="54"/>
      <c r="C889" s="59" t="s">
        <v>158</v>
      </c>
      <c r="D889" s="60">
        <f>SUM(D890)</f>
        <v>1016014</v>
      </c>
      <c r="E889" s="60">
        <f>SUM(E890)</f>
        <v>0</v>
      </c>
      <c r="F889" s="60">
        <f>SUM(D889:E889)</f>
        <v>1016014</v>
      </c>
    </row>
    <row r="890" spans="1:6" ht="15">
      <c r="A890" s="41"/>
      <c r="B890" s="54"/>
      <c r="C890" s="26" t="s">
        <v>159</v>
      </c>
      <c r="D890" s="56">
        <f>SUM(D892)</f>
        <v>1016014</v>
      </c>
      <c r="E890" s="56"/>
      <c r="F890" s="56">
        <f>SUM(D890:E890)</f>
        <v>1016014</v>
      </c>
    </row>
    <row r="891" spans="1:6" ht="15">
      <c r="A891" s="41"/>
      <c r="B891" s="54"/>
      <c r="C891" s="26"/>
      <c r="D891" s="56"/>
      <c r="E891" s="56"/>
      <c r="F891" s="56"/>
    </row>
    <row r="892" spans="1:6" ht="14.25">
      <c r="A892" s="41"/>
      <c r="B892" s="54"/>
      <c r="C892" s="59" t="s">
        <v>160</v>
      </c>
      <c r="D892" s="60">
        <f>SUM(D893:D893)</f>
        <v>1016014</v>
      </c>
      <c r="E892" s="60">
        <f>SUM(E893:E893)</f>
        <v>0</v>
      </c>
      <c r="F892" s="60">
        <f>SUM(D892:E892)</f>
        <v>1016014</v>
      </c>
    </row>
    <row r="893" spans="1:6" ht="15">
      <c r="A893" s="41"/>
      <c r="B893" s="54"/>
      <c r="C893" s="26" t="s">
        <v>161</v>
      </c>
      <c r="D893" s="56">
        <f>566952+452352-4790+1500</f>
        <v>1016014</v>
      </c>
      <c r="E893" s="56"/>
      <c r="F893" s="56">
        <f>SUM(D893:E893)</f>
        <v>1016014</v>
      </c>
    </row>
    <row r="894" spans="1:6" ht="15">
      <c r="A894" s="41"/>
      <c r="B894" s="54"/>
      <c r="C894" s="26"/>
      <c r="D894" s="56"/>
      <c r="E894" s="56"/>
      <c r="F894" s="56"/>
    </row>
    <row r="895" spans="1:6" ht="15">
      <c r="A895" s="65" t="s">
        <v>460</v>
      </c>
      <c r="B895" s="63" t="s">
        <v>461</v>
      </c>
      <c r="C895" s="24" t="s">
        <v>462</v>
      </c>
      <c r="D895" s="64"/>
      <c r="E895" s="64"/>
      <c r="F895" s="64"/>
    </row>
    <row r="896" spans="1:6" ht="14.25">
      <c r="A896" s="41"/>
      <c r="B896" s="54"/>
      <c r="C896" s="59" t="s">
        <v>158</v>
      </c>
      <c r="D896" s="60">
        <f>SUM(D897)</f>
        <v>62436</v>
      </c>
      <c r="E896" s="60">
        <f>SUM(E897)</f>
        <v>0</v>
      </c>
      <c r="F896" s="60">
        <f>SUM(D896:E896)</f>
        <v>62436</v>
      </c>
    </row>
    <row r="897" spans="1:6" ht="15">
      <c r="A897" s="41"/>
      <c r="B897" s="54"/>
      <c r="C897" s="26" t="s">
        <v>159</v>
      </c>
      <c r="D897" s="56">
        <f>SUM(D899)</f>
        <v>62436</v>
      </c>
      <c r="E897" s="56"/>
      <c r="F897" s="56">
        <f>SUM(D897:E897)</f>
        <v>62436</v>
      </c>
    </row>
    <row r="898" spans="1:6" ht="15">
      <c r="A898" s="41"/>
      <c r="B898" s="54"/>
      <c r="C898" s="26"/>
      <c r="D898" s="56"/>
      <c r="E898" s="56"/>
      <c r="F898" s="56"/>
    </row>
    <row r="899" spans="1:6" ht="14.25">
      <c r="A899" s="41"/>
      <c r="B899" s="54"/>
      <c r="C899" s="59" t="s">
        <v>160</v>
      </c>
      <c r="D899" s="60">
        <f>SUM(D900:D901)</f>
        <v>62436</v>
      </c>
      <c r="E899" s="60">
        <f>SUM(E901:E901)</f>
        <v>0</v>
      </c>
      <c r="F899" s="60">
        <f>SUM(D899:E899)</f>
        <v>62436</v>
      </c>
    </row>
    <row r="900" spans="1:6" ht="15">
      <c r="A900" s="41"/>
      <c r="B900" s="54"/>
      <c r="C900" s="26" t="s">
        <v>161</v>
      </c>
      <c r="D900" s="56">
        <f>10354+10865</f>
        <v>21219</v>
      </c>
      <c r="E900" s="60"/>
      <c r="F900" s="56">
        <f>SUM(D900:E900)</f>
        <v>21219</v>
      </c>
    </row>
    <row r="901" spans="1:6" ht="15">
      <c r="A901" s="41"/>
      <c r="B901" s="54"/>
      <c r="C901" s="26" t="s">
        <v>168</v>
      </c>
      <c r="D901" s="56">
        <v>41217</v>
      </c>
      <c r="E901" s="56"/>
      <c r="F901" s="56">
        <f>SUM(D901:E901)</f>
        <v>41217</v>
      </c>
    </row>
    <row r="902" spans="1:6" ht="15">
      <c r="A902" s="41"/>
      <c r="B902" s="54"/>
      <c r="C902" s="26"/>
      <c r="D902" s="56"/>
      <c r="E902" s="56"/>
      <c r="F902" s="56"/>
    </row>
    <row r="903" spans="1:6" ht="14.25">
      <c r="A903" s="57" t="s">
        <v>463</v>
      </c>
      <c r="B903" s="58"/>
      <c r="C903" s="59" t="s">
        <v>17</v>
      </c>
      <c r="D903" s="60">
        <f>SUM(D908)</f>
        <v>47797</v>
      </c>
      <c r="E903" s="60"/>
      <c r="F903" s="60">
        <f>SUM(D903:E903)</f>
        <v>47797</v>
      </c>
    </row>
    <row r="904" spans="1:6" ht="15">
      <c r="A904" s="41" t="s">
        <v>464</v>
      </c>
      <c r="B904" s="54">
        <v>10702</v>
      </c>
      <c r="C904" s="26" t="s">
        <v>465</v>
      </c>
      <c r="D904" s="56"/>
      <c r="E904" s="56"/>
      <c r="F904" s="56"/>
    </row>
    <row r="905" spans="1:6" ht="14.25">
      <c r="A905" s="41"/>
      <c r="B905" s="54"/>
      <c r="C905" s="59" t="s">
        <v>158</v>
      </c>
      <c r="D905" s="60">
        <f>SUM(D906)</f>
        <v>47797</v>
      </c>
      <c r="E905" s="60">
        <f>SUM(E906)</f>
        <v>0</v>
      </c>
      <c r="F905" s="60">
        <f>SUM(D905:E905)</f>
        <v>47797</v>
      </c>
    </row>
    <row r="906" spans="1:6" ht="15">
      <c r="A906" s="41"/>
      <c r="B906" s="54"/>
      <c r="C906" s="26" t="s">
        <v>159</v>
      </c>
      <c r="D906" s="56">
        <f>SUM(D908)</f>
        <v>47797</v>
      </c>
      <c r="E906" s="56"/>
      <c r="F906" s="56">
        <f>SUM(D906:E906)</f>
        <v>47797</v>
      </c>
    </row>
    <row r="907" spans="1:6" ht="15">
      <c r="A907" s="41"/>
      <c r="B907" s="54"/>
      <c r="C907" s="26"/>
      <c r="D907" s="56"/>
      <c r="E907" s="56"/>
      <c r="F907" s="56"/>
    </row>
    <row r="908" spans="1:6" ht="14.25">
      <c r="A908" s="41"/>
      <c r="B908" s="54"/>
      <c r="C908" s="59" t="s">
        <v>160</v>
      </c>
      <c r="D908" s="60">
        <f>SUM(D909:D909)</f>
        <v>47797</v>
      </c>
      <c r="E908" s="60">
        <f>SUM(E909:E909)</f>
        <v>0</v>
      </c>
      <c r="F908" s="60">
        <f>SUM(D908:E908)</f>
        <v>47797</v>
      </c>
    </row>
    <row r="909" spans="1:6" ht="15">
      <c r="A909" s="41"/>
      <c r="B909" s="54"/>
      <c r="C909" s="26" t="s">
        <v>161</v>
      </c>
      <c r="D909" s="56">
        <v>47797</v>
      </c>
      <c r="E909" s="56"/>
      <c r="F909" s="56">
        <f>SUM(D909:E909)</f>
        <v>47797</v>
      </c>
    </row>
    <row r="910" spans="1:6" ht="15">
      <c r="A910" s="41"/>
      <c r="B910" s="54"/>
      <c r="C910" s="26"/>
      <c r="D910" s="56"/>
      <c r="E910" s="56"/>
      <c r="F910" s="56"/>
    </row>
    <row r="911" spans="1:6" ht="14.25">
      <c r="A911" s="57" t="s">
        <v>466</v>
      </c>
      <c r="B911" s="58"/>
      <c r="C911" s="59" t="s">
        <v>467</v>
      </c>
      <c r="D911" s="56"/>
      <c r="E911" s="56"/>
      <c r="F911" s="56"/>
    </row>
    <row r="912" spans="1:6" ht="14.25">
      <c r="A912" s="41"/>
      <c r="B912" s="54"/>
      <c r="C912" s="59" t="s">
        <v>152</v>
      </c>
      <c r="D912" s="60">
        <f>SUM(D917,D925,D932,D942,D950,D959,D967,D974,D981,D989,D996,D1003,D1005,D1011,D1019,D1028)</f>
        <v>8013442</v>
      </c>
      <c r="E912" s="60">
        <f>SUM(E917,E925,E932,E942,E950,E959,E967,E974,E981,E989,E996,E1003,E1011,E1019,E1027)</f>
        <v>838913</v>
      </c>
      <c r="F912" s="60">
        <f>SUM(D912:E912)</f>
        <v>8852355</v>
      </c>
    </row>
    <row r="913" spans="1:6" ht="14.25">
      <c r="A913" s="41"/>
      <c r="B913" s="54"/>
      <c r="C913" s="59" t="s">
        <v>153</v>
      </c>
      <c r="D913" s="60">
        <f>SUM(D914:D914)</f>
        <v>8013442</v>
      </c>
      <c r="E913" s="60">
        <f>SUM(E914:E914)</f>
        <v>838913</v>
      </c>
      <c r="F913" s="60">
        <f>SUM(D913:E913)</f>
        <v>8852355</v>
      </c>
    </row>
    <row r="914" spans="1:6" ht="15">
      <c r="A914" s="41"/>
      <c r="B914" s="54"/>
      <c r="C914" s="26" t="s">
        <v>147</v>
      </c>
      <c r="D914" s="56">
        <f>SUMIF($C$911:$C$1032,$C$921,D$911:D$1032)</f>
        <v>8013442</v>
      </c>
      <c r="E914" s="56">
        <f>SUMIF($C$911:$C$1032,$C$921,E$911:E$1032)</f>
        <v>838913</v>
      </c>
      <c r="F914" s="56">
        <f>SUM(D914:E914)</f>
        <v>8852355</v>
      </c>
    </row>
    <row r="915" spans="1:6" ht="14.25">
      <c r="A915" s="57" t="s">
        <v>468</v>
      </c>
      <c r="B915" s="54"/>
      <c r="C915" s="59" t="s">
        <v>8</v>
      </c>
      <c r="D915" s="60">
        <f>SUM(D920)</f>
        <v>662275</v>
      </c>
      <c r="E915" s="60">
        <f>SUM(E920)</f>
        <v>0</v>
      </c>
      <c r="F915" s="60">
        <f>SUM(D915:E915)</f>
        <v>662275</v>
      </c>
    </row>
    <row r="916" spans="1:6" ht="15">
      <c r="A916" s="65" t="s">
        <v>469</v>
      </c>
      <c r="B916" s="63" t="s">
        <v>166</v>
      </c>
      <c r="C916" s="24" t="s">
        <v>199</v>
      </c>
      <c r="D916" s="64"/>
      <c r="E916" s="64"/>
      <c r="F916" s="64"/>
    </row>
    <row r="917" spans="1:6" ht="14.25">
      <c r="A917" s="41"/>
      <c r="B917" s="54"/>
      <c r="C917" s="59" t="s">
        <v>158</v>
      </c>
      <c r="D917" s="60">
        <f>SUM(D918)</f>
        <v>662275</v>
      </c>
      <c r="E917" s="60">
        <f>SUM(E918)</f>
        <v>0</v>
      </c>
      <c r="F917" s="60">
        <f>SUM(D917:E917)</f>
        <v>662275</v>
      </c>
    </row>
    <row r="918" spans="1:6" ht="15">
      <c r="A918" s="41"/>
      <c r="B918" s="54"/>
      <c r="C918" s="26" t="s">
        <v>159</v>
      </c>
      <c r="D918" s="56">
        <f>SUM(D920)</f>
        <v>662275</v>
      </c>
      <c r="E918" s="56"/>
      <c r="F918" s="56">
        <f>SUM(D918:E918)</f>
        <v>662275</v>
      </c>
    </row>
    <row r="919" spans="1:6" ht="15">
      <c r="A919" s="41"/>
      <c r="B919" s="54"/>
      <c r="C919" s="26"/>
      <c r="D919" s="56"/>
      <c r="E919" s="56"/>
      <c r="F919" s="56"/>
    </row>
    <row r="920" spans="1:6" ht="14.25">
      <c r="A920" s="41"/>
      <c r="B920" s="54"/>
      <c r="C920" s="59" t="s">
        <v>160</v>
      </c>
      <c r="D920" s="60">
        <f>SUM(D921:D921)</f>
        <v>662275</v>
      </c>
      <c r="E920" s="60">
        <f>SUM(E921:E921)</f>
        <v>0</v>
      </c>
      <c r="F920" s="60">
        <f>SUM(D920:E920)</f>
        <v>662275</v>
      </c>
    </row>
    <row r="921" spans="1:6" ht="15">
      <c r="A921" s="41"/>
      <c r="B921" s="54"/>
      <c r="C921" s="26" t="s">
        <v>161</v>
      </c>
      <c r="D921" s="56">
        <f>652060+10215</f>
        <v>662275</v>
      </c>
      <c r="E921" s="56"/>
      <c r="F921" s="56">
        <f>SUM(D921:E921)</f>
        <v>662275</v>
      </c>
    </row>
    <row r="922" spans="1:6" ht="15">
      <c r="A922" s="41"/>
      <c r="B922" s="54"/>
      <c r="C922" s="26"/>
      <c r="D922" s="56"/>
      <c r="E922" s="56"/>
      <c r="F922" s="56"/>
    </row>
    <row r="923" spans="1:6" ht="14.25">
      <c r="A923" s="57" t="s">
        <v>470</v>
      </c>
      <c r="B923" s="58"/>
      <c r="C923" s="59" t="s">
        <v>17</v>
      </c>
      <c r="D923" s="60">
        <f>SUM(D928,D938,D946,D955,D963,D970,D977,D985,D992,D999,D1007,D1015,D1023,D1031)</f>
        <v>7351167</v>
      </c>
      <c r="E923" s="60">
        <f>SUM(E928,E938,E946,E955,E963,E970,E977,E985,E992,E999,E1007,E1015,E1023,E1031)</f>
        <v>838913</v>
      </c>
      <c r="F923" s="60">
        <f>SUM(D923:E923)</f>
        <v>8190080</v>
      </c>
    </row>
    <row r="924" spans="1:6" ht="15">
      <c r="A924" s="65" t="s">
        <v>471</v>
      </c>
      <c r="B924" s="63">
        <v>10120</v>
      </c>
      <c r="C924" s="24" t="s">
        <v>472</v>
      </c>
      <c r="D924" s="64"/>
      <c r="E924" s="64"/>
      <c r="F924" s="64"/>
    </row>
    <row r="925" spans="1:6" ht="14.25">
      <c r="A925" s="41"/>
      <c r="B925" s="54"/>
      <c r="C925" s="59" t="s">
        <v>158</v>
      </c>
      <c r="D925" s="60">
        <f>SUM(D926)</f>
        <v>335704</v>
      </c>
      <c r="E925" s="60">
        <f>SUM(E926)</f>
        <v>0</v>
      </c>
      <c r="F925" s="60">
        <f>SUM(D925:E925)</f>
        <v>335704</v>
      </c>
    </row>
    <row r="926" spans="1:6" ht="15">
      <c r="A926" s="41"/>
      <c r="B926" s="54"/>
      <c r="C926" s="26" t="s">
        <v>159</v>
      </c>
      <c r="D926" s="56">
        <f>SUM(D928)</f>
        <v>335704</v>
      </c>
      <c r="E926" s="56"/>
      <c r="F926" s="56">
        <f>SUM(D926:E926)</f>
        <v>335704</v>
      </c>
    </row>
    <row r="927" spans="1:6" ht="15">
      <c r="A927" s="41"/>
      <c r="B927" s="54"/>
      <c r="C927" s="26"/>
      <c r="D927" s="56"/>
      <c r="E927" s="56"/>
      <c r="F927" s="56"/>
    </row>
    <row r="928" spans="1:6" ht="14.25">
      <c r="A928" s="41"/>
      <c r="B928" s="54"/>
      <c r="C928" s="59" t="s">
        <v>160</v>
      </c>
      <c r="D928" s="60">
        <f>SUM(D929:D929)</f>
        <v>335704</v>
      </c>
      <c r="E928" s="60">
        <f>SUM(E929:E929)</f>
        <v>0</v>
      </c>
      <c r="F928" s="60">
        <f>SUM(D928:E928)</f>
        <v>335704</v>
      </c>
    </row>
    <row r="929" spans="1:6" ht="15">
      <c r="A929" s="41"/>
      <c r="B929" s="54"/>
      <c r="C929" s="26" t="s">
        <v>161</v>
      </c>
      <c r="D929" s="56">
        <v>335704</v>
      </c>
      <c r="E929" s="56"/>
      <c r="F929" s="56">
        <f>SUM(D929:E929)</f>
        <v>335704</v>
      </c>
    </row>
    <row r="930" spans="1:6" ht="15">
      <c r="A930" s="41"/>
      <c r="B930" s="54"/>
      <c r="C930" s="26"/>
      <c r="D930" s="56"/>
      <c r="E930" s="56"/>
      <c r="F930" s="56"/>
    </row>
    <row r="931" spans="1:6" ht="15">
      <c r="A931" s="65" t="s">
        <v>473</v>
      </c>
      <c r="B931" s="63">
        <v>10121</v>
      </c>
      <c r="C931" s="24" t="s">
        <v>474</v>
      </c>
      <c r="D931" s="64"/>
      <c r="E931" s="64"/>
      <c r="F931" s="64"/>
    </row>
    <row r="932" spans="1:6" ht="14.25">
      <c r="A932" s="41"/>
      <c r="B932" s="54"/>
      <c r="C932" s="59" t="s">
        <v>158</v>
      </c>
      <c r="D932" s="60">
        <f>SUM(D933:D933)</f>
        <v>2131679</v>
      </c>
      <c r="E932" s="60">
        <f>SUM(E933:E933)</f>
        <v>0</v>
      </c>
      <c r="F932" s="60">
        <f>SUM(D932:E932)</f>
        <v>2131679</v>
      </c>
    </row>
    <row r="933" spans="1:6" ht="15">
      <c r="A933" s="41"/>
      <c r="B933" s="54"/>
      <c r="C933" s="26" t="s">
        <v>159</v>
      </c>
      <c r="D933" s="56">
        <f>SUM(D938)</f>
        <v>2131679</v>
      </c>
      <c r="E933" s="56"/>
      <c r="F933" s="56">
        <f>SUM(D933:E933)</f>
        <v>2131679</v>
      </c>
    </row>
    <row r="934" spans="1:6" ht="15">
      <c r="A934" s="41"/>
      <c r="B934" s="54"/>
      <c r="C934" s="26" t="s">
        <v>475</v>
      </c>
      <c r="D934" s="56">
        <v>141292</v>
      </c>
      <c r="E934" s="56"/>
      <c r="F934" s="56">
        <f>SUM(D934:E934)</f>
        <v>141292</v>
      </c>
    </row>
    <row r="935" spans="1:6" ht="15">
      <c r="A935" s="41"/>
      <c r="B935" s="54"/>
      <c r="C935" s="26" t="s">
        <v>476</v>
      </c>
      <c r="D935" s="56">
        <v>100000</v>
      </c>
      <c r="E935" s="56"/>
      <c r="F935" s="56">
        <f>SUM(D935:E935)</f>
        <v>100000</v>
      </c>
    </row>
    <row r="936" spans="1:6" ht="30">
      <c r="A936" s="41"/>
      <c r="B936" s="54"/>
      <c r="C936" s="26" t="s">
        <v>477</v>
      </c>
      <c r="D936" s="56">
        <v>37369</v>
      </c>
      <c r="E936" s="56"/>
      <c r="F936" s="56">
        <f>SUM(D936:E936)</f>
        <v>37369</v>
      </c>
    </row>
    <row r="937" spans="1:6" ht="15">
      <c r="A937" s="41"/>
      <c r="B937" s="54"/>
      <c r="C937" s="26"/>
      <c r="D937" s="56"/>
      <c r="E937" s="56"/>
      <c r="F937" s="56"/>
    </row>
    <row r="938" spans="1:6" ht="14.25">
      <c r="A938" s="41"/>
      <c r="B938" s="54"/>
      <c r="C938" s="59" t="s">
        <v>160</v>
      </c>
      <c r="D938" s="60">
        <f>SUM(D939:D939)</f>
        <v>2131679</v>
      </c>
      <c r="E938" s="60">
        <f>SUM(E939:E939)</f>
        <v>0</v>
      </c>
      <c r="F938" s="60">
        <f>SUM(D938:E938)</f>
        <v>2131679</v>
      </c>
    </row>
    <row r="939" spans="1:6" ht="15">
      <c r="A939" s="41"/>
      <c r="B939" s="54"/>
      <c r="C939" s="26" t="s">
        <v>161</v>
      </c>
      <c r="D939" s="56">
        <f>1853018+278661</f>
        <v>2131679</v>
      </c>
      <c r="E939" s="56"/>
      <c r="F939" s="56">
        <f>SUM(D939:E939)</f>
        <v>2131679</v>
      </c>
    </row>
    <row r="940" spans="1:6" ht="15">
      <c r="A940" s="41"/>
      <c r="B940" s="54"/>
      <c r="C940" s="26"/>
      <c r="D940" s="56"/>
      <c r="E940" s="56"/>
      <c r="F940" s="56"/>
    </row>
    <row r="941" spans="1:6" ht="29.25" customHeight="1">
      <c r="A941" s="65" t="s">
        <v>478</v>
      </c>
      <c r="B941" s="63">
        <v>10200</v>
      </c>
      <c r="C941" s="24" t="s">
        <v>479</v>
      </c>
      <c r="D941" s="64"/>
      <c r="E941" s="64"/>
      <c r="F941" s="64"/>
    </row>
    <row r="942" spans="1:6" ht="14.25">
      <c r="A942" s="41"/>
      <c r="B942" s="54"/>
      <c r="C942" s="59" t="s">
        <v>158</v>
      </c>
      <c r="D942" s="60">
        <f>SUM(D943:D944)</f>
        <v>371954</v>
      </c>
      <c r="E942" s="60">
        <f>SUM(E943:E944)</f>
        <v>1663</v>
      </c>
      <c r="F942" s="60">
        <f>SUM(D942:E942)</f>
        <v>373617</v>
      </c>
    </row>
    <row r="943" spans="1:6" ht="15">
      <c r="A943" s="41"/>
      <c r="B943" s="54"/>
      <c r="C943" s="26" t="s">
        <v>159</v>
      </c>
      <c r="D943" s="56">
        <f>SUM(D946)</f>
        <v>371954</v>
      </c>
      <c r="E943" s="56"/>
      <c r="F943" s="56">
        <f>SUM(D943:E943)</f>
        <v>371954</v>
      </c>
    </row>
    <row r="944" spans="1:6" ht="15">
      <c r="A944" s="41"/>
      <c r="B944" s="54"/>
      <c r="C944" s="26" t="s">
        <v>480</v>
      </c>
      <c r="D944" s="56"/>
      <c r="E944" s="56">
        <f>SUM(E946)</f>
        <v>1663</v>
      </c>
      <c r="F944" s="56">
        <f>SUM(D944:E944)</f>
        <v>1663</v>
      </c>
    </row>
    <row r="945" spans="1:6" ht="15">
      <c r="A945" s="41"/>
      <c r="B945" s="54"/>
      <c r="C945" s="26"/>
      <c r="D945" s="56"/>
      <c r="E945" s="56"/>
      <c r="F945" s="56"/>
    </row>
    <row r="946" spans="1:6" ht="14.25">
      <c r="A946" s="41"/>
      <c r="B946" s="54"/>
      <c r="C946" s="59" t="s">
        <v>160</v>
      </c>
      <c r="D946" s="60">
        <f>SUM(D947:D947)</f>
        <v>371954</v>
      </c>
      <c r="E946" s="60">
        <f>SUM(E947:E947)</f>
        <v>1663</v>
      </c>
      <c r="F946" s="60">
        <f>SUM(D946:E946)</f>
        <v>373617</v>
      </c>
    </row>
    <row r="947" spans="1:6" ht="15">
      <c r="A947" s="41"/>
      <c r="B947" s="54"/>
      <c r="C947" s="26" t="s">
        <v>161</v>
      </c>
      <c r="D947" s="56">
        <v>371954</v>
      </c>
      <c r="E947" s="56">
        <v>1663</v>
      </c>
      <c r="F947" s="56">
        <f>SUM(D947:E947)</f>
        <v>373617</v>
      </c>
    </row>
    <row r="948" spans="1:6" ht="15">
      <c r="A948" s="41"/>
      <c r="B948" s="54"/>
      <c r="C948" s="26"/>
      <c r="D948" s="56"/>
      <c r="E948" s="56"/>
      <c r="F948" s="56"/>
    </row>
    <row r="949" spans="1:6" ht="30">
      <c r="A949" s="65" t="s">
        <v>481</v>
      </c>
      <c r="B949" s="63">
        <v>10200</v>
      </c>
      <c r="C949" s="24" t="s">
        <v>482</v>
      </c>
      <c r="D949" s="64"/>
      <c r="E949" s="64"/>
      <c r="F949" s="64"/>
    </row>
    <row r="950" spans="1:6" ht="14.25">
      <c r="A950" s="41"/>
      <c r="B950" s="54"/>
      <c r="C950" s="59" t="s">
        <v>158</v>
      </c>
      <c r="D950" s="60">
        <f>SUM(D951:D953)</f>
        <v>201973</v>
      </c>
      <c r="E950" s="60">
        <f>SUM(E951:E953)</f>
        <v>64620</v>
      </c>
      <c r="F950" s="60">
        <f>SUM(D950:E950)</f>
        <v>266593</v>
      </c>
    </row>
    <row r="951" spans="1:6" ht="15">
      <c r="A951" s="41"/>
      <c r="B951" s="54"/>
      <c r="C951" s="26" t="s">
        <v>159</v>
      </c>
      <c r="D951" s="56">
        <f>SUM(D955)</f>
        <v>201973</v>
      </c>
      <c r="E951" s="56"/>
      <c r="F951" s="56">
        <f>SUM(D951:E951)</f>
        <v>201973</v>
      </c>
    </row>
    <row r="952" spans="1:6" ht="15">
      <c r="A952" s="41"/>
      <c r="B952" s="54"/>
      <c r="C952" s="26" t="s">
        <v>480</v>
      </c>
      <c r="D952" s="56"/>
      <c r="E952" s="56">
        <v>59900</v>
      </c>
      <c r="F952" s="56">
        <f>SUM(D952:E952)</f>
        <v>59900</v>
      </c>
    </row>
    <row r="953" spans="1:6" ht="15">
      <c r="A953" s="41"/>
      <c r="B953" s="54"/>
      <c r="C953" s="26" t="s">
        <v>251</v>
      </c>
      <c r="D953" s="56"/>
      <c r="E953" s="56">
        <v>4720</v>
      </c>
      <c r="F953" s="56">
        <f>SUM(D953:E953)</f>
        <v>4720</v>
      </c>
    </row>
    <row r="954" spans="1:6" ht="15">
      <c r="A954" s="41"/>
      <c r="B954" s="54"/>
      <c r="C954" s="26"/>
      <c r="D954" s="56"/>
      <c r="E954" s="56"/>
      <c r="F954" s="56"/>
    </row>
    <row r="955" spans="1:6" ht="14.25">
      <c r="A955" s="41"/>
      <c r="B955" s="54"/>
      <c r="C955" s="59" t="s">
        <v>160</v>
      </c>
      <c r="D955" s="60">
        <f>SUM(D956:D956)</f>
        <v>201973</v>
      </c>
      <c r="E955" s="60">
        <f>SUM(E956:E956)</f>
        <v>64620</v>
      </c>
      <c r="F955" s="60">
        <f>SUM(D955:E955)</f>
        <v>266593</v>
      </c>
    </row>
    <row r="956" spans="1:6" ht="15">
      <c r="A956" s="41"/>
      <c r="B956" s="54"/>
      <c r="C956" s="26" t="s">
        <v>161</v>
      </c>
      <c r="D956" s="56">
        <v>201973</v>
      </c>
      <c r="E956" s="56">
        <v>64620</v>
      </c>
      <c r="F956" s="56">
        <f>SUM(D956:E956)</f>
        <v>266593</v>
      </c>
    </row>
    <row r="957" spans="1:6" ht="15">
      <c r="A957" s="41"/>
      <c r="B957" s="54"/>
      <c r="C957" s="26"/>
      <c r="D957" s="56"/>
      <c r="E957" s="56"/>
      <c r="F957" s="56"/>
    </row>
    <row r="958" spans="1:6" ht="30">
      <c r="A958" s="65" t="s">
        <v>483</v>
      </c>
      <c r="B958" s="63">
        <v>10200</v>
      </c>
      <c r="C958" s="24" t="s">
        <v>484</v>
      </c>
      <c r="D958" s="64"/>
      <c r="E958" s="64"/>
      <c r="F958" s="64"/>
    </row>
    <row r="959" spans="1:6" ht="14.25">
      <c r="A959" s="41"/>
      <c r="B959" s="54"/>
      <c r="C959" s="59" t="s">
        <v>158</v>
      </c>
      <c r="D959" s="60">
        <f>SUM(D960:D961)</f>
        <v>812260</v>
      </c>
      <c r="E959" s="60">
        <f>SUM(E960:E961)</f>
        <v>680700</v>
      </c>
      <c r="F959" s="60">
        <f>SUM(D959:E959)</f>
        <v>1492960</v>
      </c>
    </row>
    <row r="960" spans="1:6" ht="15">
      <c r="A960" s="41"/>
      <c r="B960" s="54"/>
      <c r="C960" s="26" t="s">
        <v>159</v>
      </c>
      <c r="D960" s="56">
        <f>SUM(D963)</f>
        <v>812260</v>
      </c>
      <c r="E960" s="56"/>
      <c r="F960" s="56">
        <f>SUM(D960:E960)</f>
        <v>812260</v>
      </c>
    </row>
    <row r="961" spans="1:6" ht="15">
      <c r="A961" s="41"/>
      <c r="B961" s="54"/>
      <c r="C961" s="26" t="s">
        <v>480</v>
      </c>
      <c r="D961" s="56"/>
      <c r="E961" s="56">
        <v>680700</v>
      </c>
      <c r="F961" s="56">
        <f>SUM(D961:E961)</f>
        <v>680700</v>
      </c>
    </row>
    <row r="962" spans="1:6" ht="15">
      <c r="A962" s="41"/>
      <c r="B962" s="54"/>
      <c r="C962" s="26"/>
      <c r="D962" s="56"/>
      <c r="E962" s="56"/>
      <c r="F962" s="56"/>
    </row>
    <row r="963" spans="1:6" ht="14.25">
      <c r="A963" s="41"/>
      <c r="B963" s="54"/>
      <c r="C963" s="59" t="s">
        <v>160</v>
      </c>
      <c r="D963" s="60">
        <f>SUM(D964:D964)</f>
        <v>812260</v>
      </c>
      <c r="E963" s="60">
        <f>SUM(E964:E964)</f>
        <v>680700</v>
      </c>
      <c r="F963" s="60">
        <f>SUM(D963:E963)</f>
        <v>1492960</v>
      </c>
    </row>
    <row r="964" spans="1:6" ht="15">
      <c r="A964" s="41"/>
      <c r="B964" s="54"/>
      <c r="C964" s="26" t="s">
        <v>161</v>
      </c>
      <c r="D964" s="56">
        <v>812260</v>
      </c>
      <c r="E964" s="56">
        <v>680700</v>
      </c>
      <c r="F964" s="56">
        <f>SUM(D964:E964)</f>
        <v>1492960</v>
      </c>
    </row>
    <row r="965" spans="1:6" ht="15">
      <c r="A965" s="41"/>
      <c r="B965" s="54"/>
      <c r="C965" s="26"/>
      <c r="D965" s="56"/>
      <c r="E965" s="56"/>
      <c r="F965" s="56"/>
    </row>
    <row r="966" spans="1:6" ht="15">
      <c r="A966" s="65" t="s">
        <v>485</v>
      </c>
      <c r="B966" s="63">
        <v>10201</v>
      </c>
      <c r="C966" s="24" t="s">
        <v>486</v>
      </c>
      <c r="D966" s="64"/>
      <c r="E966" s="64"/>
      <c r="F966" s="64"/>
    </row>
    <row r="967" spans="1:6" ht="14.25">
      <c r="A967" s="41"/>
      <c r="B967" s="54"/>
      <c r="C967" s="59" t="s">
        <v>158</v>
      </c>
      <c r="D967" s="60">
        <f>SUM(D968:D968)</f>
        <v>60406</v>
      </c>
      <c r="E967" s="60">
        <f>SUM(E968:E968)</f>
        <v>0</v>
      </c>
      <c r="F967" s="60">
        <f>SUM(D967:E967)</f>
        <v>60406</v>
      </c>
    </row>
    <row r="968" spans="1:6" ht="15">
      <c r="A968" s="41"/>
      <c r="B968" s="54"/>
      <c r="C968" s="26" t="s">
        <v>159</v>
      </c>
      <c r="D968" s="56">
        <f>SUM(D970)</f>
        <v>60406</v>
      </c>
      <c r="E968" s="56"/>
      <c r="F968" s="56">
        <f>SUM(D968:E968)</f>
        <v>60406</v>
      </c>
    </row>
    <row r="969" spans="1:6" ht="15">
      <c r="A969" s="41"/>
      <c r="B969" s="54"/>
      <c r="C969" s="26"/>
      <c r="D969" s="56"/>
      <c r="E969" s="56"/>
      <c r="F969" s="56"/>
    </row>
    <row r="970" spans="1:6" ht="14.25">
      <c r="A970" s="41"/>
      <c r="B970" s="54"/>
      <c r="C970" s="59" t="s">
        <v>160</v>
      </c>
      <c r="D970" s="60">
        <f>SUM(D971:D971)</f>
        <v>60406</v>
      </c>
      <c r="E970" s="60">
        <f>SUM(E971:E971)</f>
        <v>0</v>
      </c>
      <c r="F970" s="60">
        <f>SUM(D970:E970)</f>
        <v>60406</v>
      </c>
    </row>
    <row r="971" spans="1:6" ht="15">
      <c r="A971" s="41"/>
      <c r="B971" s="54"/>
      <c r="C971" s="26" t="s">
        <v>161</v>
      </c>
      <c r="D971" s="56">
        <v>60406</v>
      </c>
      <c r="E971" s="56"/>
      <c r="F971" s="56">
        <f>SUM(D971:E971)</f>
        <v>60406</v>
      </c>
    </row>
    <row r="972" spans="1:6" ht="15">
      <c r="A972" s="41"/>
      <c r="B972" s="54"/>
      <c r="C972" s="26"/>
      <c r="D972" s="56"/>
      <c r="E972" s="56"/>
      <c r="F972" s="56"/>
    </row>
    <row r="973" spans="1:6" ht="15">
      <c r="A973" s="65" t="s">
        <v>487</v>
      </c>
      <c r="B973" s="63">
        <v>10400</v>
      </c>
      <c r="C973" s="24" t="s">
        <v>488</v>
      </c>
      <c r="D973" s="64"/>
      <c r="E973" s="64"/>
      <c r="F973" s="64"/>
    </row>
    <row r="974" spans="1:6" ht="14.25">
      <c r="A974" s="41"/>
      <c r="B974" s="54"/>
      <c r="C974" s="59" t="s">
        <v>158</v>
      </c>
      <c r="D974" s="60">
        <f>SUM(D975)</f>
        <v>136800</v>
      </c>
      <c r="E974" s="60">
        <f>SUM(E975)</f>
        <v>0</v>
      </c>
      <c r="F974" s="60">
        <f>SUM(D974:E974)</f>
        <v>136800</v>
      </c>
    </row>
    <row r="975" spans="1:6" ht="15">
      <c r="A975" s="41"/>
      <c r="B975" s="54"/>
      <c r="C975" s="26" t="s">
        <v>159</v>
      </c>
      <c r="D975" s="56">
        <f>SUM(D977)</f>
        <v>136800</v>
      </c>
      <c r="E975" s="56"/>
      <c r="F975" s="56">
        <f>SUM(D975:E975)</f>
        <v>136800</v>
      </c>
    </row>
    <row r="976" spans="1:6" ht="15">
      <c r="A976" s="41"/>
      <c r="B976" s="54"/>
      <c r="C976" s="26"/>
      <c r="D976" s="56"/>
      <c r="E976" s="56"/>
      <c r="F976" s="56"/>
    </row>
    <row r="977" spans="1:6" ht="14.25">
      <c r="A977" s="41"/>
      <c r="B977" s="54"/>
      <c r="C977" s="59" t="s">
        <v>160</v>
      </c>
      <c r="D977" s="60">
        <f>SUM(D978:D978)</f>
        <v>136800</v>
      </c>
      <c r="E977" s="60">
        <f>SUM(E978:E978)</f>
        <v>0</v>
      </c>
      <c r="F977" s="60">
        <f>SUM(D977:E977)</f>
        <v>136800</v>
      </c>
    </row>
    <row r="978" spans="1:6" ht="15">
      <c r="A978" s="41"/>
      <c r="B978" s="54"/>
      <c r="C978" s="26" t="s">
        <v>161</v>
      </c>
      <c r="D978" s="56">
        <v>136800</v>
      </c>
      <c r="E978" s="56"/>
      <c r="F978" s="56">
        <f>SUM(D978:E978)</f>
        <v>136800</v>
      </c>
    </row>
    <row r="979" spans="1:6" ht="15">
      <c r="A979" s="41"/>
      <c r="B979" s="54"/>
      <c r="C979" s="26"/>
      <c r="D979" s="56"/>
      <c r="E979" s="56"/>
      <c r="F979" s="56"/>
    </row>
    <row r="980" spans="1:6" ht="45">
      <c r="A980" s="65" t="s">
        <v>489</v>
      </c>
      <c r="B980" s="63">
        <v>10401</v>
      </c>
      <c r="C980" s="24" t="s">
        <v>490</v>
      </c>
      <c r="D980" s="64"/>
      <c r="E980" s="64"/>
      <c r="F980" s="64"/>
    </row>
    <row r="981" spans="1:6" ht="14.25">
      <c r="A981" s="41"/>
      <c r="B981" s="54"/>
      <c r="C981" s="59" t="s">
        <v>158</v>
      </c>
      <c r="D981" s="60">
        <f>SUM(D982:D983)</f>
        <v>244424</v>
      </c>
      <c r="E981" s="60">
        <f>SUM(E982:E983)</f>
        <v>3000</v>
      </c>
      <c r="F981" s="60">
        <f>SUM(D981:E981)</f>
        <v>247424</v>
      </c>
    </row>
    <row r="982" spans="1:6" ht="15">
      <c r="A982" s="41"/>
      <c r="B982" s="54"/>
      <c r="C982" s="26" t="s">
        <v>159</v>
      </c>
      <c r="D982" s="56">
        <f>SUM(D985)</f>
        <v>244424</v>
      </c>
      <c r="E982" s="56"/>
      <c r="F982" s="56">
        <f>SUM(D982:E982)</f>
        <v>244424</v>
      </c>
    </row>
    <row r="983" spans="1:6" ht="15">
      <c r="A983" s="41"/>
      <c r="B983" s="54"/>
      <c r="C983" s="26" t="s">
        <v>480</v>
      </c>
      <c r="D983" s="56"/>
      <c r="E983" s="56">
        <f>SUM(E985)</f>
        <v>3000</v>
      </c>
      <c r="F983" s="56">
        <f>SUM(D983:E983)</f>
        <v>3000</v>
      </c>
    </row>
    <row r="984" spans="1:6" ht="15">
      <c r="A984" s="41"/>
      <c r="B984" s="54"/>
      <c r="C984" s="26"/>
      <c r="D984" s="56"/>
      <c r="E984" s="56"/>
      <c r="F984" s="56"/>
    </row>
    <row r="985" spans="1:6" ht="14.25">
      <c r="A985" s="41"/>
      <c r="B985" s="54"/>
      <c r="C985" s="59" t="s">
        <v>160</v>
      </c>
      <c r="D985" s="60">
        <f>SUM(D986:D986)</f>
        <v>244424</v>
      </c>
      <c r="E985" s="60">
        <f>SUM(E986:E986)</f>
        <v>3000</v>
      </c>
      <c r="F985" s="60">
        <f>SUM(D985:E985)</f>
        <v>247424</v>
      </c>
    </row>
    <row r="986" spans="1:6" ht="15">
      <c r="A986" s="41"/>
      <c r="B986" s="54"/>
      <c r="C986" s="26" t="s">
        <v>161</v>
      </c>
      <c r="D986" s="56">
        <v>244424</v>
      </c>
      <c r="E986" s="56">
        <v>3000</v>
      </c>
      <c r="F986" s="56">
        <f>SUM(D986:E986)</f>
        <v>247424</v>
      </c>
    </row>
    <row r="987" spans="1:6" ht="15">
      <c r="A987" s="41"/>
      <c r="B987" s="54"/>
      <c r="C987" s="26"/>
      <c r="D987" s="56"/>
      <c r="E987" s="56"/>
      <c r="F987" s="56"/>
    </row>
    <row r="988" spans="1:6" ht="30">
      <c r="A988" s="65" t="s">
        <v>491</v>
      </c>
      <c r="B988" s="63">
        <v>10402</v>
      </c>
      <c r="C988" s="24" t="s">
        <v>492</v>
      </c>
      <c r="D988" s="64"/>
      <c r="E988" s="64"/>
      <c r="F988" s="64"/>
    </row>
    <row r="989" spans="1:6" ht="14.25">
      <c r="A989" s="41"/>
      <c r="B989" s="54"/>
      <c r="C989" s="59" t="s">
        <v>158</v>
      </c>
      <c r="D989" s="60">
        <f>SUM(D990:D990)</f>
        <v>876557</v>
      </c>
      <c r="E989" s="60">
        <f>SUM(E990:E990)</f>
        <v>0</v>
      </c>
      <c r="F989" s="60">
        <f>SUM(D989:E989)</f>
        <v>876557</v>
      </c>
    </row>
    <row r="990" spans="1:6" ht="15">
      <c r="A990" s="41"/>
      <c r="B990" s="54"/>
      <c r="C990" s="26" t="s">
        <v>159</v>
      </c>
      <c r="D990" s="56">
        <f>SUM(D992)</f>
        <v>876557</v>
      </c>
      <c r="E990" s="56"/>
      <c r="F990" s="56">
        <f>SUM(D990:E990)</f>
        <v>876557</v>
      </c>
    </row>
    <row r="991" spans="1:6" ht="15">
      <c r="A991" s="41"/>
      <c r="B991" s="54"/>
      <c r="C991" s="26"/>
      <c r="D991" s="56"/>
      <c r="E991" s="56"/>
      <c r="F991" s="56"/>
    </row>
    <row r="992" spans="1:6" ht="14.25">
      <c r="A992" s="41"/>
      <c r="B992" s="54"/>
      <c r="C992" s="59" t="s">
        <v>160</v>
      </c>
      <c r="D992" s="60">
        <f>SUM(D993:D993)</f>
        <v>876557</v>
      </c>
      <c r="E992" s="60">
        <f>SUM(E993:E993)</f>
        <v>0</v>
      </c>
      <c r="F992" s="60">
        <f>SUM(D992:E992)</f>
        <v>876557</v>
      </c>
    </row>
    <row r="993" spans="1:6" ht="15">
      <c r="A993" s="41"/>
      <c r="B993" s="54"/>
      <c r="C993" s="26" t="s">
        <v>161</v>
      </c>
      <c r="D993" s="56">
        <v>876557</v>
      </c>
      <c r="E993" s="56"/>
      <c r="F993" s="56">
        <f>SUM(D993:E993)</f>
        <v>876557</v>
      </c>
    </row>
    <row r="994" spans="1:6" ht="15">
      <c r="A994" s="41"/>
      <c r="B994" s="54"/>
      <c r="C994" s="26"/>
      <c r="D994" s="56"/>
      <c r="E994" s="56"/>
      <c r="F994" s="56"/>
    </row>
    <row r="995" spans="1:6" ht="30">
      <c r="A995" s="65" t="s">
        <v>493</v>
      </c>
      <c r="B995" s="63">
        <v>10500</v>
      </c>
      <c r="C995" s="24" t="s">
        <v>494</v>
      </c>
      <c r="D995" s="64"/>
      <c r="E995" s="64"/>
      <c r="F995" s="64"/>
    </row>
    <row r="996" spans="1:6" ht="14.25">
      <c r="A996" s="41"/>
      <c r="B996" s="54"/>
      <c r="C996" s="59" t="s">
        <v>158</v>
      </c>
      <c r="D996" s="60">
        <f>SUM(D997:D997)</f>
        <v>11151</v>
      </c>
      <c r="E996" s="60">
        <f>SUM(E997:E997)</f>
        <v>0</v>
      </c>
      <c r="F996" s="60">
        <f>SUM(D996:E996)</f>
        <v>11151</v>
      </c>
    </row>
    <row r="997" spans="1:6" ht="15">
      <c r="A997" s="41"/>
      <c r="B997" s="54"/>
      <c r="C997" s="26" t="s">
        <v>159</v>
      </c>
      <c r="D997" s="56">
        <f>SUM(D999)</f>
        <v>11151</v>
      </c>
      <c r="E997" s="56"/>
      <c r="F997" s="56">
        <f>SUM(D997:E997)</f>
        <v>11151</v>
      </c>
    </row>
    <row r="998" spans="1:6" ht="15">
      <c r="A998" s="41"/>
      <c r="B998" s="54"/>
      <c r="C998" s="26"/>
      <c r="D998" s="56"/>
      <c r="E998" s="56"/>
      <c r="F998" s="56"/>
    </row>
    <row r="999" spans="1:6" ht="14.25">
      <c r="A999" s="41"/>
      <c r="B999" s="54"/>
      <c r="C999" s="59" t="s">
        <v>160</v>
      </c>
      <c r="D999" s="60">
        <f>SUM(D1000:D1000)</f>
        <v>11151</v>
      </c>
      <c r="E999" s="60">
        <f>SUM(E1000:E1000)</f>
        <v>0</v>
      </c>
      <c r="F999" s="60">
        <f>SUM(D999:E999)</f>
        <v>11151</v>
      </c>
    </row>
    <row r="1000" spans="1:6" ht="15">
      <c r="A1000" s="41"/>
      <c r="B1000" s="54"/>
      <c r="C1000" s="26" t="s">
        <v>161</v>
      </c>
      <c r="D1000" s="56">
        <v>11151</v>
      </c>
      <c r="E1000" s="56"/>
      <c r="F1000" s="56">
        <f>SUM(D1000:E1000)</f>
        <v>11151</v>
      </c>
    </row>
    <row r="1001" spans="1:6" ht="15">
      <c r="A1001" s="41"/>
      <c r="B1001" s="54"/>
      <c r="C1001" s="26"/>
      <c r="D1001" s="56"/>
      <c r="E1001" s="56"/>
      <c r="F1001" s="56"/>
    </row>
    <row r="1002" spans="1:6" ht="30">
      <c r="A1002" s="65" t="s">
        <v>495</v>
      </c>
      <c r="B1002" s="63">
        <v>10700</v>
      </c>
      <c r="C1002" s="24" t="s">
        <v>496</v>
      </c>
      <c r="D1002" s="64"/>
      <c r="E1002" s="64"/>
      <c r="F1002" s="64"/>
    </row>
    <row r="1003" spans="1:6" ht="14.25">
      <c r="A1003" s="41"/>
      <c r="B1003" s="54"/>
      <c r="C1003" s="59" t="s">
        <v>158</v>
      </c>
      <c r="D1003" s="60">
        <f>SUM(D1004:D1005)</f>
        <v>234566</v>
      </c>
      <c r="E1003" s="60">
        <f>SUM(E1004:E1005)</f>
        <v>11130</v>
      </c>
      <c r="F1003" s="60">
        <f>SUM(D1003:E1003)</f>
        <v>245696</v>
      </c>
    </row>
    <row r="1004" spans="1:6" ht="15">
      <c r="A1004" s="41"/>
      <c r="B1004" s="54"/>
      <c r="C1004" s="26" t="s">
        <v>159</v>
      </c>
      <c r="D1004" s="56">
        <f>SUM(D1007)</f>
        <v>234566</v>
      </c>
      <c r="E1004" s="56"/>
      <c r="F1004" s="56">
        <f>SUM(D1004:E1004)</f>
        <v>234566</v>
      </c>
    </row>
    <row r="1005" spans="1:6" ht="15">
      <c r="A1005" s="41"/>
      <c r="B1005" s="54"/>
      <c r="C1005" s="26" t="s">
        <v>480</v>
      </c>
      <c r="D1005" s="56"/>
      <c r="E1005" s="56">
        <f>SUM(E1007)</f>
        <v>11130</v>
      </c>
      <c r="F1005" s="56">
        <f>SUM(D1005:E1005)</f>
        <v>11130</v>
      </c>
    </row>
    <row r="1006" spans="1:6" ht="15">
      <c r="A1006" s="41"/>
      <c r="B1006" s="54"/>
      <c r="C1006" s="26"/>
      <c r="D1006" s="56"/>
      <c r="E1006" s="56"/>
      <c r="F1006" s="56"/>
    </row>
    <row r="1007" spans="1:6" ht="14.25">
      <c r="A1007" s="41"/>
      <c r="B1007" s="54"/>
      <c r="C1007" s="59" t="s">
        <v>160</v>
      </c>
      <c r="D1007" s="60">
        <f>SUM(D1008:D1008)</f>
        <v>234566</v>
      </c>
      <c r="E1007" s="60">
        <f>SUM(E1008:E1008)</f>
        <v>11130</v>
      </c>
      <c r="F1007" s="60">
        <f>SUM(D1007:E1007)</f>
        <v>245696</v>
      </c>
    </row>
    <row r="1008" spans="1:6" ht="15">
      <c r="A1008" s="41"/>
      <c r="B1008" s="54"/>
      <c r="C1008" s="26" t="s">
        <v>161</v>
      </c>
      <c r="D1008" s="56">
        <v>234566</v>
      </c>
      <c r="E1008" s="56">
        <v>11130</v>
      </c>
      <c r="F1008" s="56">
        <f>SUM(D1008:E1008)</f>
        <v>245696</v>
      </c>
    </row>
    <row r="1009" spans="1:6" ht="15">
      <c r="A1009" s="41"/>
      <c r="B1009" s="54"/>
      <c r="C1009" s="26"/>
      <c r="D1009" s="56"/>
      <c r="E1009" s="56"/>
      <c r="F1009" s="56"/>
    </row>
    <row r="1010" spans="1:6" ht="15">
      <c r="A1010" s="65" t="s">
        <v>497</v>
      </c>
      <c r="B1010" s="63">
        <v>10701</v>
      </c>
      <c r="C1010" s="24" t="s">
        <v>498</v>
      </c>
      <c r="D1010" s="64"/>
      <c r="E1010" s="64"/>
      <c r="F1010" s="64"/>
    </row>
    <row r="1011" spans="1:6" ht="14.25">
      <c r="A1011" s="41"/>
      <c r="B1011" s="54"/>
      <c r="C1011" s="59" t="s">
        <v>158</v>
      </c>
      <c r="D1011" s="60">
        <f>SUM(D1012:D1012)</f>
        <v>1322487</v>
      </c>
      <c r="E1011" s="60">
        <f>SUM(E1012:E1012)</f>
        <v>0</v>
      </c>
      <c r="F1011" s="60">
        <f>SUM(D1011:E1011)</f>
        <v>1322487</v>
      </c>
    </row>
    <row r="1012" spans="1:6" ht="15">
      <c r="A1012" s="41"/>
      <c r="B1012" s="54"/>
      <c r="C1012" s="26" t="s">
        <v>159</v>
      </c>
      <c r="D1012" s="56">
        <f>SUM(D1013)</f>
        <v>1322487</v>
      </c>
      <c r="E1012" s="56"/>
      <c r="F1012" s="56">
        <f>SUM(D1012:E1012)</f>
        <v>1322487</v>
      </c>
    </row>
    <row r="1013" spans="1:6" ht="15">
      <c r="A1013" s="41"/>
      <c r="B1013" s="54"/>
      <c r="C1013" s="26" t="s">
        <v>499</v>
      </c>
      <c r="D1013" s="56">
        <f>SUM(D1016)</f>
        <v>1322487</v>
      </c>
      <c r="E1013" s="56"/>
      <c r="F1013" s="56">
        <f>SUM(D1013:E1013)</f>
        <v>1322487</v>
      </c>
    </row>
    <row r="1014" spans="1:6" ht="15">
      <c r="A1014" s="41"/>
      <c r="B1014" s="54"/>
      <c r="C1014" s="26"/>
      <c r="D1014" s="56"/>
      <c r="E1014" s="56"/>
      <c r="F1014" s="56"/>
    </row>
    <row r="1015" spans="1:6" ht="14.25">
      <c r="A1015" s="41"/>
      <c r="B1015" s="54"/>
      <c r="C1015" s="59" t="s">
        <v>160</v>
      </c>
      <c r="D1015" s="60">
        <f>SUM(D1016:D1016)</f>
        <v>1322487</v>
      </c>
      <c r="E1015" s="60">
        <f>SUM(E1016:E1016)</f>
        <v>0</v>
      </c>
      <c r="F1015" s="60">
        <f>SUM(D1015:E1015)</f>
        <v>1322487</v>
      </c>
    </row>
    <row r="1016" spans="1:6" ht="15">
      <c r="A1016" s="41"/>
      <c r="B1016" s="54"/>
      <c r="C1016" s="26" t="s">
        <v>161</v>
      </c>
      <c r="D1016" s="56">
        <f>1110362+212125</f>
        <v>1322487</v>
      </c>
      <c r="E1016" s="56"/>
      <c r="F1016" s="56">
        <f>SUM(D1016:E1016)</f>
        <v>1322487</v>
      </c>
    </row>
    <row r="1017" spans="1:6" ht="15">
      <c r="A1017" s="41"/>
      <c r="B1017" s="54"/>
      <c r="C1017" s="26"/>
      <c r="D1017" s="56"/>
      <c r="E1017" s="56"/>
      <c r="F1017" s="56"/>
    </row>
    <row r="1018" spans="1:6" ht="15">
      <c r="A1018" s="65" t="s">
        <v>500</v>
      </c>
      <c r="B1018" s="63">
        <v>10702</v>
      </c>
      <c r="C1018" s="24" t="s">
        <v>501</v>
      </c>
      <c r="D1018" s="64"/>
      <c r="E1018" s="64"/>
      <c r="F1018" s="64"/>
    </row>
    <row r="1019" spans="1:6" ht="14.25">
      <c r="A1019" s="41"/>
      <c r="B1019" s="54"/>
      <c r="C1019" s="59" t="s">
        <v>158</v>
      </c>
      <c r="D1019" s="60">
        <f>SUM(D1020:D1021)</f>
        <v>601606</v>
      </c>
      <c r="E1019" s="60">
        <f>SUM(E1020:E1021)</f>
        <v>73000</v>
      </c>
      <c r="F1019" s="60">
        <f>SUM(D1019:E1019)</f>
        <v>674606</v>
      </c>
    </row>
    <row r="1020" spans="1:6" ht="15">
      <c r="A1020" s="41"/>
      <c r="B1020" s="54"/>
      <c r="C1020" s="26" t="s">
        <v>159</v>
      </c>
      <c r="D1020" s="56">
        <f>SUM(D1024)</f>
        <v>601606</v>
      </c>
      <c r="E1020" s="56"/>
      <c r="F1020" s="56">
        <f>SUM(D1020:E1020)</f>
        <v>601606</v>
      </c>
    </row>
    <row r="1021" spans="1:6" ht="15">
      <c r="A1021" s="41"/>
      <c r="B1021" s="54"/>
      <c r="C1021" s="26" t="s">
        <v>332</v>
      </c>
      <c r="D1021" s="56"/>
      <c r="E1021" s="56">
        <f>SUM(E1023)</f>
        <v>73000</v>
      </c>
      <c r="F1021" s="56">
        <f>SUM(D1021:E1021)</f>
        <v>73000</v>
      </c>
    </row>
    <row r="1022" spans="1:6" ht="15">
      <c r="A1022" s="41"/>
      <c r="B1022" s="54"/>
      <c r="C1022" s="26"/>
      <c r="D1022" s="56"/>
      <c r="E1022" s="56"/>
      <c r="F1022" s="56"/>
    </row>
    <row r="1023" spans="1:6" ht="14.25">
      <c r="A1023" s="41"/>
      <c r="B1023" s="54"/>
      <c r="C1023" s="59" t="s">
        <v>160</v>
      </c>
      <c r="D1023" s="60">
        <f>SUM(D1024:D1024)</f>
        <v>601606</v>
      </c>
      <c r="E1023" s="60">
        <f>SUM(E1024:E1024)</f>
        <v>73000</v>
      </c>
      <c r="F1023" s="60">
        <f>SUM(D1023:E1023)</f>
        <v>674606</v>
      </c>
    </row>
    <row r="1024" spans="1:6" ht="15">
      <c r="A1024" s="41"/>
      <c r="B1024" s="54"/>
      <c r="C1024" s="26" t="s">
        <v>161</v>
      </c>
      <c r="D1024" s="56">
        <v>601606</v>
      </c>
      <c r="E1024" s="56">
        <v>73000</v>
      </c>
      <c r="F1024" s="56">
        <f>SUM(D1024:E1024)</f>
        <v>674606</v>
      </c>
    </row>
    <row r="1025" spans="1:6" ht="15">
      <c r="A1025" s="41"/>
      <c r="B1025" s="54"/>
      <c r="C1025" s="26"/>
      <c r="D1025" s="56"/>
      <c r="E1025" s="56"/>
      <c r="F1025" s="56"/>
    </row>
    <row r="1026" spans="1:6" ht="15">
      <c r="A1026" s="65" t="s">
        <v>502</v>
      </c>
      <c r="B1026" s="63">
        <v>10900</v>
      </c>
      <c r="C1026" s="24" t="s">
        <v>503</v>
      </c>
      <c r="D1026" s="64"/>
      <c r="E1026" s="64"/>
      <c r="F1026" s="64"/>
    </row>
    <row r="1027" spans="1:6" ht="14.25">
      <c r="A1027" s="41"/>
      <c r="B1027" s="54"/>
      <c r="C1027" s="59" t="s">
        <v>158</v>
      </c>
      <c r="D1027" s="60">
        <f>SUM(D1028:D1029)</f>
        <v>9600</v>
      </c>
      <c r="E1027" s="60">
        <f>SUM(E1028:E1029)</f>
        <v>4800</v>
      </c>
      <c r="F1027" s="60">
        <f>SUM(D1027:E1027)</f>
        <v>14400</v>
      </c>
    </row>
    <row r="1028" spans="1:6" ht="15">
      <c r="A1028" s="41"/>
      <c r="B1028" s="54"/>
      <c r="C1028" s="26" t="s">
        <v>159</v>
      </c>
      <c r="D1028" s="56">
        <f>SUM(D1031)</f>
        <v>9600</v>
      </c>
      <c r="E1028" s="56"/>
      <c r="F1028" s="56">
        <f>SUM(D1028:E1028)</f>
        <v>9600</v>
      </c>
    </row>
    <row r="1029" spans="1:6" ht="15">
      <c r="A1029" s="41"/>
      <c r="B1029" s="54"/>
      <c r="C1029" s="26" t="s">
        <v>480</v>
      </c>
      <c r="D1029" s="56"/>
      <c r="E1029" s="56">
        <f>SUM(E1031)</f>
        <v>4800</v>
      </c>
      <c r="F1029" s="56">
        <f>SUM(D1029:E1029)</f>
        <v>4800</v>
      </c>
    </row>
    <row r="1030" spans="1:6" ht="15">
      <c r="A1030" s="41"/>
      <c r="B1030" s="54"/>
      <c r="C1030" s="26"/>
      <c r="D1030" s="56"/>
      <c r="E1030" s="56"/>
      <c r="F1030" s="56"/>
    </row>
    <row r="1031" spans="1:6" ht="14.25">
      <c r="A1031" s="41"/>
      <c r="B1031" s="54"/>
      <c r="C1031" s="59" t="s">
        <v>160</v>
      </c>
      <c r="D1031" s="60">
        <f>SUM(D1032:D1032)</f>
        <v>9600</v>
      </c>
      <c r="E1031" s="60">
        <f>SUM(E1032:E1032)</f>
        <v>4800</v>
      </c>
      <c r="F1031" s="60">
        <f>SUM(D1031:E1031)</f>
        <v>14400</v>
      </c>
    </row>
    <row r="1032" spans="1:6" ht="15">
      <c r="A1032" s="41"/>
      <c r="B1032" s="54"/>
      <c r="C1032" s="26" t="s">
        <v>161</v>
      </c>
      <c r="D1032" s="56">
        <v>9600</v>
      </c>
      <c r="E1032" s="56">
        <v>4800</v>
      </c>
      <c r="F1032" s="56">
        <f>SUM(D1032:E1032)</f>
        <v>14400</v>
      </c>
    </row>
    <row r="1033" spans="1:6" ht="15">
      <c r="A1033" s="41"/>
      <c r="B1033" s="54"/>
      <c r="C1033" s="26"/>
      <c r="D1033" s="56"/>
      <c r="E1033" s="56"/>
      <c r="F1033" s="56"/>
    </row>
    <row r="1034" spans="1:6" ht="14.25">
      <c r="A1034" s="57" t="s">
        <v>504</v>
      </c>
      <c r="B1034" s="58"/>
      <c r="C1034" s="59" t="s">
        <v>505</v>
      </c>
      <c r="D1034" s="56"/>
      <c r="E1034" s="56"/>
      <c r="F1034" s="56"/>
    </row>
    <row r="1035" spans="1:6" ht="14.25">
      <c r="A1035" s="41"/>
      <c r="B1035" s="54"/>
      <c r="C1035" s="59" t="s">
        <v>152</v>
      </c>
      <c r="D1035" s="60">
        <f>SUM(D1040,D1048,D1055,D1062,D1069)</f>
        <v>467769</v>
      </c>
      <c r="E1035" s="60">
        <f>SUM(E1040,E1048,E1055,E1062,E1069)</f>
        <v>0</v>
      </c>
      <c r="F1035" s="60">
        <f>SUM(D1035:E1035)</f>
        <v>467769</v>
      </c>
    </row>
    <row r="1036" spans="1:6" ht="14.25">
      <c r="A1036" s="41"/>
      <c r="B1036" s="54"/>
      <c r="C1036" s="59" t="s">
        <v>153</v>
      </c>
      <c r="D1036" s="60">
        <f>SUM(D1037:D1037)</f>
        <v>467769</v>
      </c>
      <c r="E1036" s="60">
        <f>SUM(E1037:E1037)</f>
        <v>0</v>
      </c>
      <c r="F1036" s="60">
        <f>SUM(D1036:E1036)</f>
        <v>467769</v>
      </c>
    </row>
    <row r="1037" spans="1:6" ht="15">
      <c r="A1037" s="41"/>
      <c r="B1037" s="54"/>
      <c r="C1037" s="26" t="s">
        <v>147</v>
      </c>
      <c r="D1037" s="56">
        <f>SUM(D1044,D1052,D1059,D1066,D1073)</f>
        <v>467769</v>
      </c>
      <c r="E1037" s="56">
        <f>SUM(E1044,E1052,E1059,E1066,E1073)</f>
        <v>0</v>
      </c>
      <c r="F1037" s="56">
        <f>SUM(D1037:E1037)</f>
        <v>467769</v>
      </c>
    </row>
    <row r="1038" spans="1:6" ht="14.25">
      <c r="A1038" s="57" t="s">
        <v>506</v>
      </c>
      <c r="B1038" s="54"/>
      <c r="C1038" s="59" t="s">
        <v>8</v>
      </c>
      <c r="D1038" s="60">
        <f>SUM(D1043)</f>
        <v>61142</v>
      </c>
      <c r="E1038" s="60">
        <f>SUM(E1043)</f>
        <v>0</v>
      </c>
      <c r="F1038" s="60">
        <f>SUM(D1038:E1038)</f>
        <v>61142</v>
      </c>
    </row>
    <row r="1039" spans="1:6" ht="15">
      <c r="A1039" s="65" t="s">
        <v>507</v>
      </c>
      <c r="B1039" s="63" t="s">
        <v>166</v>
      </c>
      <c r="C1039" s="24" t="s">
        <v>508</v>
      </c>
      <c r="D1039" s="64"/>
      <c r="E1039" s="64"/>
      <c r="F1039" s="64"/>
    </row>
    <row r="1040" spans="1:6" ht="14.25">
      <c r="A1040" s="41"/>
      <c r="B1040" s="54"/>
      <c r="C1040" s="59" t="s">
        <v>158</v>
      </c>
      <c r="D1040" s="60">
        <f>SUM(D1041)</f>
        <v>61142</v>
      </c>
      <c r="E1040" s="60">
        <f>SUM(E1041)</f>
        <v>0</v>
      </c>
      <c r="F1040" s="60">
        <f>SUM(D1040:E1040)</f>
        <v>61142</v>
      </c>
    </row>
    <row r="1041" spans="1:6" ht="15">
      <c r="A1041" s="41"/>
      <c r="B1041" s="54"/>
      <c r="C1041" s="26" t="s">
        <v>159</v>
      </c>
      <c r="D1041" s="56">
        <f>SUM(D1043)</f>
        <v>61142</v>
      </c>
      <c r="E1041" s="56"/>
      <c r="F1041" s="56">
        <f>SUM(D1041:E1041)</f>
        <v>61142</v>
      </c>
    </row>
    <row r="1042" spans="1:6" ht="15">
      <c r="A1042" s="41"/>
      <c r="B1042" s="54"/>
      <c r="C1042" s="26"/>
      <c r="D1042" s="56"/>
      <c r="E1042" s="56"/>
      <c r="F1042" s="56"/>
    </row>
    <row r="1043" spans="1:6" ht="14.25">
      <c r="A1043" s="41"/>
      <c r="B1043" s="54"/>
      <c r="C1043" s="59" t="s">
        <v>160</v>
      </c>
      <c r="D1043" s="60">
        <f>SUM(D1044:D1044)</f>
        <v>61142</v>
      </c>
      <c r="E1043" s="60">
        <f>SUM(E1044:E1044)</f>
        <v>0</v>
      </c>
      <c r="F1043" s="60">
        <f>SUM(D1043:E1043)</f>
        <v>61142</v>
      </c>
    </row>
    <row r="1044" spans="1:6" ht="15">
      <c r="A1044" s="41"/>
      <c r="B1044" s="54"/>
      <c r="C1044" s="26" t="s">
        <v>161</v>
      </c>
      <c r="D1044" s="56">
        <f>60107+1035</f>
        <v>61142</v>
      </c>
      <c r="E1044" s="56"/>
      <c r="F1044" s="56">
        <f>SUM(D1044:E1044)</f>
        <v>61142</v>
      </c>
    </row>
    <row r="1045" spans="1:6" ht="15">
      <c r="A1045" s="41"/>
      <c r="B1045" s="54"/>
      <c r="C1045" s="26"/>
      <c r="D1045" s="56"/>
      <c r="E1045" s="56"/>
      <c r="F1045" s="56"/>
    </row>
    <row r="1046" spans="1:6" ht="14.25">
      <c r="A1046" s="57" t="s">
        <v>509</v>
      </c>
      <c r="B1046" s="58"/>
      <c r="C1046" s="59" t="s">
        <v>14</v>
      </c>
      <c r="D1046" s="60">
        <f>SUM(D1051,D1058,D1065,D1072)</f>
        <v>406627</v>
      </c>
      <c r="E1046" s="60">
        <f>SUM(E1051,E1058,E1065,E1072)</f>
        <v>0</v>
      </c>
      <c r="F1046" s="60">
        <f>SUM(D1046:E1046)</f>
        <v>406627</v>
      </c>
    </row>
    <row r="1047" spans="1:6" ht="15">
      <c r="A1047" s="65" t="s">
        <v>510</v>
      </c>
      <c r="B1047" s="63" t="s">
        <v>511</v>
      </c>
      <c r="C1047" s="24" t="s">
        <v>512</v>
      </c>
      <c r="D1047" s="64"/>
      <c r="E1047" s="64"/>
      <c r="F1047" s="64"/>
    </row>
    <row r="1048" spans="1:6" ht="14.25">
      <c r="A1048" s="41"/>
      <c r="B1048" s="54"/>
      <c r="C1048" s="59" t="s">
        <v>158</v>
      </c>
      <c r="D1048" s="60">
        <f>SUM(D1049)</f>
        <v>22369</v>
      </c>
      <c r="E1048" s="60">
        <f>SUM(E1049)</f>
        <v>0</v>
      </c>
      <c r="F1048" s="60">
        <f>SUM(D1048:E1048)</f>
        <v>22369</v>
      </c>
    </row>
    <row r="1049" spans="1:6" ht="15">
      <c r="A1049" s="41"/>
      <c r="B1049" s="54"/>
      <c r="C1049" s="26" t="s">
        <v>159</v>
      </c>
      <c r="D1049" s="56">
        <f>SUM(D1051)</f>
        <v>22369</v>
      </c>
      <c r="E1049" s="56"/>
      <c r="F1049" s="56">
        <f>SUM(D1049:E1049)</f>
        <v>22369</v>
      </c>
    </row>
    <row r="1050" spans="1:6" ht="15">
      <c r="A1050" s="41"/>
      <c r="B1050" s="54"/>
      <c r="C1050" s="26"/>
      <c r="D1050" s="56"/>
      <c r="E1050" s="56"/>
      <c r="F1050" s="56"/>
    </row>
    <row r="1051" spans="1:6" ht="14.25">
      <c r="A1051" s="41"/>
      <c r="B1051" s="54"/>
      <c r="C1051" s="59" t="s">
        <v>160</v>
      </c>
      <c r="D1051" s="60">
        <f>SUM(D1052:D1052)</f>
        <v>22369</v>
      </c>
      <c r="E1051" s="60">
        <f>SUM(E1052:E1052)</f>
        <v>0</v>
      </c>
      <c r="F1051" s="60">
        <f>SUM(D1051:E1051)</f>
        <v>22369</v>
      </c>
    </row>
    <row r="1052" spans="1:6" ht="15">
      <c r="A1052" s="41"/>
      <c r="B1052" s="54"/>
      <c r="C1052" s="26" t="s">
        <v>161</v>
      </c>
      <c r="D1052" s="56">
        <v>22369</v>
      </c>
      <c r="E1052" s="56"/>
      <c r="F1052" s="56">
        <f>SUM(D1052:E1052)</f>
        <v>22369</v>
      </c>
    </row>
    <row r="1053" spans="1:6" ht="15">
      <c r="A1053" s="41"/>
      <c r="B1053" s="54"/>
      <c r="C1053" s="26"/>
      <c r="D1053" s="56"/>
      <c r="E1053" s="56"/>
      <c r="F1053" s="56"/>
    </row>
    <row r="1054" spans="1:6" ht="15">
      <c r="A1054" s="65" t="s">
        <v>513</v>
      </c>
      <c r="B1054" s="63" t="s">
        <v>514</v>
      </c>
      <c r="C1054" s="24" t="s">
        <v>515</v>
      </c>
      <c r="D1054" s="64"/>
      <c r="E1054" s="64"/>
      <c r="F1054" s="64"/>
    </row>
    <row r="1055" spans="1:6" ht="14.25">
      <c r="A1055" s="41"/>
      <c r="B1055" s="54"/>
      <c r="C1055" s="59" t="s">
        <v>158</v>
      </c>
      <c r="D1055" s="60">
        <f>SUM(D1056:D1056)</f>
        <v>85833</v>
      </c>
      <c r="E1055" s="60">
        <f>SUM(E1056:E1056)</f>
        <v>0</v>
      </c>
      <c r="F1055" s="60">
        <f>SUM(D1055:E1055)</f>
        <v>85833</v>
      </c>
    </row>
    <row r="1056" spans="1:6" ht="15">
      <c r="A1056" s="41"/>
      <c r="B1056" s="54"/>
      <c r="C1056" s="26" t="s">
        <v>159</v>
      </c>
      <c r="D1056" s="56">
        <f>SUM(D1058)</f>
        <v>85833</v>
      </c>
      <c r="E1056" s="56"/>
      <c r="F1056" s="56">
        <f>SUM(D1056:E1056)</f>
        <v>85833</v>
      </c>
    </row>
    <row r="1057" spans="1:6" ht="15">
      <c r="A1057" s="41"/>
      <c r="B1057" s="54"/>
      <c r="C1057" s="26"/>
      <c r="D1057" s="56"/>
      <c r="E1057" s="56"/>
      <c r="F1057" s="56"/>
    </row>
    <row r="1058" spans="1:6" ht="14.25">
      <c r="A1058" s="41"/>
      <c r="B1058" s="54"/>
      <c r="C1058" s="59" t="s">
        <v>160</v>
      </c>
      <c r="D1058" s="60">
        <f>SUM(D1059:D1059)</f>
        <v>85833</v>
      </c>
      <c r="E1058" s="60">
        <f>SUM(E1059:E1059)</f>
        <v>0</v>
      </c>
      <c r="F1058" s="60">
        <f>SUM(D1058:E1058)</f>
        <v>85833</v>
      </c>
    </row>
    <row r="1059" spans="1:6" ht="15">
      <c r="A1059" s="41"/>
      <c r="B1059" s="54"/>
      <c r="C1059" s="26" t="s">
        <v>161</v>
      </c>
      <c r="D1059" s="56">
        <v>85833</v>
      </c>
      <c r="E1059" s="56"/>
      <c r="F1059" s="56">
        <f>SUM(D1059:E1059)</f>
        <v>85833</v>
      </c>
    </row>
    <row r="1060" spans="1:6" ht="15">
      <c r="A1060" s="41"/>
      <c r="B1060" s="54"/>
      <c r="C1060" s="26"/>
      <c r="D1060" s="56"/>
      <c r="E1060" s="56"/>
      <c r="F1060" s="56"/>
    </row>
    <row r="1061" spans="1:6" ht="15">
      <c r="A1061" s="65" t="s">
        <v>516</v>
      </c>
      <c r="B1061" s="63" t="s">
        <v>517</v>
      </c>
      <c r="C1061" s="24" t="s">
        <v>518</v>
      </c>
      <c r="D1061" s="64"/>
      <c r="E1061" s="64"/>
      <c r="F1061" s="64"/>
    </row>
    <row r="1062" spans="1:6" ht="14.25">
      <c r="A1062" s="41"/>
      <c r="B1062" s="54"/>
      <c r="C1062" s="59" t="s">
        <v>158</v>
      </c>
      <c r="D1062" s="60">
        <f>SUM(D1063:D1063)</f>
        <v>267300</v>
      </c>
      <c r="E1062" s="60">
        <f>SUM(E1063:E1063)</f>
        <v>0</v>
      </c>
      <c r="F1062" s="60">
        <f>SUM(D1062:E1062)</f>
        <v>267300</v>
      </c>
    </row>
    <row r="1063" spans="1:6" ht="15">
      <c r="A1063" s="41"/>
      <c r="B1063" s="54"/>
      <c r="C1063" s="26" t="s">
        <v>159</v>
      </c>
      <c r="D1063" s="56">
        <f>SUM(D1065)</f>
        <v>267300</v>
      </c>
      <c r="E1063" s="56"/>
      <c r="F1063" s="56">
        <f>SUM(D1063:E1063)</f>
        <v>267300</v>
      </c>
    </row>
    <row r="1064" spans="1:6" ht="15">
      <c r="A1064" s="41"/>
      <c r="B1064" s="54"/>
      <c r="C1064" s="26"/>
      <c r="D1064" s="56"/>
      <c r="E1064" s="56"/>
      <c r="F1064" s="56"/>
    </row>
    <row r="1065" spans="1:6" ht="14.25">
      <c r="A1065" s="41"/>
      <c r="B1065" s="54"/>
      <c r="C1065" s="59" t="s">
        <v>160</v>
      </c>
      <c r="D1065" s="60">
        <f>SUM(D1066:D1066)</f>
        <v>267300</v>
      </c>
      <c r="E1065" s="60">
        <f>SUM(E1066:E1066)</f>
        <v>0</v>
      </c>
      <c r="F1065" s="60">
        <f>SUM(D1065:E1065)</f>
        <v>267300</v>
      </c>
    </row>
    <row r="1066" spans="1:6" ht="15">
      <c r="A1066" s="41"/>
      <c r="B1066" s="54"/>
      <c r="C1066" s="26" t="s">
        <v>161</v>
      </c>
      <c r="D1066" s="56">
        <v>267300</v>
      </c>
      <c r="E1066" s="56"/>
      <c r="F1066" s="56">
        <f>SUM(D1066:E1066)</f>
        <v>267300</v>
      </c>
    </row>
    <row r="1067" spans="1:6" ht="15">
      <c r="A1067" s="41"/>
      <c r="B1067" s="54"/>
      <c r="C1067" s="26"/>
      <c r="D1067" s="56"/>
      <c r="E1067" s="56"/>
      <c r="F1067" s="56"/>
    </row>
    <row r="1068" spans="1:6" ht="15">
      <c r="A1068" s="65" t="s">
        <v>519</v>
      </c>
      <c r="B1068" s="63" t="s">
        <v>520</v>
      </c>
      <c r="C1068" s="24" t="s">
        <v>521</v>
      </c>
      <c r="D1068" s="64"/>
      <c r="E1068" s="64"/>
      <c r="F1068" s="64"/>
    </row>
    <row r="1069" spans="1:6" ht="14.25">
      <c r="A1069" s="41"/>
      <c r="B1069" s="54"/>
      <c r="C1069" s="59" t="s">
        <v>158</v>
      </c>
      <c r="D1069" s="60">
        <f>SUM(D1070:D1070)</f>
        <v>31125</v>
      </c>
      <c r="E1069" s="60">
        <f>SUM(E1070:E1070)</f>
        <v>0</v>
      </c>
      <c r="F1069" s="60">
        <f>SUM(D1069:E1069)</f>
        <v>31125</v>
      </c>
    </row>
    <row r="1070" spans="1:6" ht="15">
      <c r="A1070" s="41"/>
      <c r="B1070" s="54"/>
      <c r="C1070" s="26" t="s">
        <v>159</v>
      </c>
      <c r="D1070" s="56">
        <f>SUM(D1072)</f>
        <v>31125</v>
      </c>
      <c r="E1070" s="56"/>
      <c r="F1070" s="56">
        <f>SUM(D1070:E1070)</f>
        <v>31125</v>
      </c>
    </row>
    <row r="1071" spans="1:6" ht="15">
      <c r="A1071" s="41"/>
      <c r="B1071" s="54"/>
      <c r="C1071" s="26"/>
      <c r="D1071" s="56"/>
      <c r="E1071" s="56"/>
      <c r="F1071" s="56"/>
    </row>
    <row r="1072" spans="1:6" ht="14.25">
      <c r="A1072" s="41"/>
      <c r="B1072" s="54"/>
      <c r="C1072" s="59" t="s">
        <v>160</v>
      </c>
      <c r="D1072" s="60">
        <f>SUM(D1073:D1073)</f>
        <v>31125</v>
      </c>
      <c r="E1072" s="60">
        <f>SUM(E1073:E1073)</f>
        <v>0</v>
      </c>
      <c r="F1072" s="60">
        <f>SUM(D1072:E1072)</f>
        <v>31125</v>
      </c>
    </row>
    <row r="1073" spans="1:6" ht="15">
      <c r="A1073" s="41"/>
      <c r="B1073" s="54"/>
      <c r="C1073" s="26" t="s">
        <v>161</v>
      </c>
      <c r="D1073" s="56">
        <v>31125</v>
      </c>
      <c r="E1073" s="56"/>
      <c r="F1073" s="56">
        <f>SUM(D1073:E1073)</f>
        <v>31125</v>
      </c>
    </row>
    <row r="1074" spans="1:6" ht="15">
      <c r="A1074" s="41"/>
      <c r="B1074" s="54"/>
      <c r="C1074" s="26"/>
      <c r="D1074" s="56"/>
      <c r="E1074" s="56"/>
      <c r="F1074" s="56"/>
    </row>
    <row r="1075" spans="1:6" ht="14.25">
      <c r="A1075" s="67" t="s">
        <v>522</v>
      </c>
      <c r="B1075" s="58"/>
      <c r="C1075" s="59" t="s">
        <v>523</v>
      </c>
      <c r="D1075" s="60">
        <v>703028</v>
      </c>
      <c r="E1075" s="60"/>
      <c r="F1075" s="60">
        <f>SUM(D1075:E1075)</f>
        <v>703028</v>
      </c>
    </row>
    <row r="1078" spans="1:6" ht="12.75">
      <c r="A1078" s="68"/>
      <c r="C1078" s="6"/>
      <c r="D1078" s="4"/>
      <c r="E1078" s="4"/>
      <c r="F1078" s="4"/>
    </row>
    <row r="1079" spans="1:6" ht="12.75">
      <c r="A1079" s="69"/>
      <c r="B1079" s="70"/>
      <c r="C1079" s="71"/>
      <c r="D1079" s="72"/>
      <c r="E1079" s="72"/>
      <c r="F1079" s="72"/>
    </row>
    <row r="1080" spans="3:6" ht="12.75">
      <c r="C1080" s="6"/>
      <c r="D1080" s="4"/>
      <c r="E1080" s="4"/>
      <c r="F1080" s="4"/>
    </row>
    <row r="1083" spans="3:6" ht="12.75">
      <c r="C1083" s="6"/>
      <c r="D1083" s="4"/>
      <c r="E1083" s="4"/>
      <c r="F1083" s="4"/>
    </row>
  </sheetData>
  <sheetProtection selectLockedCells="1" selectUnlockedCells="1"/>
  <mergeCells count="2">
    <mergeCell ref="A1:F1"/>
    <mergeCell ref="A2:F2"/>
  </mergeCells>
  <printOptions/>
  <pageMargins left="0.7479166666666667" right="0.7479166666666667" top="0.9840277777777777" bottom="0.8451388888888889" header="0.5" footer="0.5118055555555555"/>
  <pageSetup horizontalDpi="300" verticalDpi="300" orientation="portrait" paperSize="9" scale="95"/>
  <headerFooter alignWithMargins="0">
    <oddHeader xml:space="preserve">&amp;RLisa 4
Tartu Linnavolikogu  22.12.2011 
määruse nr 53 juurde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7"/>
  <sheetViews>
    <sheetView workbookViewId="0" topLeftCell="A1">
      <selection activeCell="B1" sqref="B1"/>
    </sheetView>
  </sheetViews>
  <sheetFormatPr defaultColWidth="9.140625" defaultRowHeight="12.75"/>
  <cols>
    <col min="1" max="1" width="6.57421875" style="73" customWidth="1"/>
    <col min="2" max="2" width="41.57421875" style="74" customWidth="1"/>
    <col min="3" max="3" width="4.421875" style="75" customWidth="1"/>
    <col min="4" max="4" width="10.28125" style="76" customWidth="1"/>
    <col min="5" max="5" width="11.00390625" style="75" customWidth="1"/>
    <col min="6" max="6" width="10.28125" style="75" customWidth="1"/>
    <col min="7" max="16384" width="9.140625" style="75" customWidth="1"/>
  </cols>
  <sheetData>
    <row r="1" spans="2:6" ht="12.75" customHeight="1">
      <c r="B1" s="77" t="s">
        <v>524</v>
      </c>
      <c r="C1" s="77"/>
      <c r="D1" s="77"/>
      <c r="E1" s="77"/>
      <c r="F1" s="77"/>
    </row>
    <row r="2" spans="2:6" ht="12.75">
      <c r="B2" s="78"/>
      <c r="C2" s="79"/>
      <c r="D2" s="80"/>
      <c r="F2" s="81" t="s">
        <v>1</v>
      </c>
    </row>
    <row r="3" spans="2:6" ht="24" customHeight="1">
      <c r="B3" s="82"/>
      <c r="C3" s="83"/>
      <c r="D3" s="84" t="s">
        <v>525</v>
      </c>
      <c r="E3" s="84"/>
      <c r="F3" s="85" t="s">
        <v>526</v>
      </c>
    </row>
    <row r="4" spans="1:6" ht="12.75">
      <c r="A4" s="86"/>
      <c r="B4" s="82"/>
      <c r="C4" s="83"/>
      <c r="D4" s="84" t="s">
        <v>527</v>
      </c>
      <c r="E4" s="85" t="s">
        <v>528</v>
      </c>
      <c r="F4" s="85"/>
    </row>
    <row r="5" spans="2:6" ht="25.5">
      <c r="B5" s="87" t="s">
        <v>529</v>
      </c>
      <c r="C5" s="88"/>
      <c r="D5" s="89">
        <f>SUM(D6,D14)</f>
        <v>16161929</v>
      </c>
      <c r="E5" s="89">
        <f>SUM(E6,E14)</f>
        <v>22239363</v>
      </c>
      <c r="F5" s="89">
        <f>SUM(D5,E5)</f>
        <v>38401292</v>
      </c>
    </row>
    <row r="6" spans="2:6" ht="12.75">
      <c r="B6" s="87" t="s">
        <v>530</v>
      </c>
      <c r="C6" s="88"/>
      <c r="D6" s="89">
        <f>SUM(D7:D13)</f>
        <v>10176458</v>
      </c>
      <c r="E6" s="89">
        <f>SUM(E7:E13)</f>
        <v>22111540</v>
      </c>
      <c r="F6" s="89">
        <f>SUM(D6,E6)</f>
        <v>32287998</v>
      </c>
    </row>
    <row r="7" spans="2:6" ht="12.75">
      <c r="B7" s="82" t="s">
        <v>8</v>
      </c>
      <c r="C7" s="83"/>
      <c r="D7" s="90">
        <f>SUM(D27,D38,D56,D113,D162)</f>
        <v>1500701</v>
      </c>
      <c r="E7" s="90">
        <f>SUM(E27,E38,E56,E113,E162)</f>
        <v>0</v>
      </c>
      <c r="F7" s="90">
        <f>SUM(F27,F38,F56,F113,F162)</f>
        <v>1500701</v>
      </c>
    </row>
    <row r="8" spans="2:6" ht="12.75">
      <c r="B8" s="82" t="s">
        <v>11</v>
      </c>
      <c r="C8" s="83"/>
      <c r="D8" s="90">
        <f>SUM(D34,D58,D110,D116)</f>
        <v>4756734</v>
      </c>
      <c r="E8" s="90">
        <f>SUM(E34,E58,E110,E116)</f>
        <v>15154832</v>
      </c>
      <c r="F8" s="90">
        <f>SUM(F34,F58,F110,F116)</f>
        <v>19911566</v>
      </c>
    </row>
    <row r="9" spans="2:6" ht="12.75">
      <c r="B9" s="82" t="s">
        <v>12</v>
      </c>
      <c r="C9" s="83"/>
      <c r="D9" s="90">
        <f>SUM(D97)</f>
        <v>97102</v>
      </c>
      <c r="E9" s="90">
        <f>SUM(E97)</f>
        <v>197115</v>
      </c>
      <c r="F9" s="90">
        <f>SUM(F97)</f>
        <v>294217</v>
      </c>
    </row>
    <row r="10" spans="2:6" ht="12.75">
      <c r="B10" s="82" t="s">
        <v>531</v>
      </c>
      <c r="C10" s="83"/>
      <c r="D10" s="90">
        <f>SUM(D101,D124)</f>
        <v>220130</v>
      </c>
      <c r="E10" s="90">
        <f>SUM(E101,E124)</f>
        <v>0</v>
      </c>
      <c r="F10" s="90">
        <f>SUM(F101,F124)</f>
        <v>220130</v>
      </c>
    </row>
    <row r="11" spans="2:6" ht="12.75">
      <c r="B11" s="82" t="s">
        <v>532</v>
      </c>
      <c r="C11" s="83"/>
      <c r="D11" s="90">
        <f>SUM(D30,D48,D128,D165)</f>
        <v>721535</v>
      </c>
      <c r="E11" s="90">
        <f>SUM(E30,E48,E128,E165)</f>
        <v>0</v>
      </c>
      <c r="F11" s="90">
        <f>SUM(F30,F48,F128,F165)</f>
        <v>721535</v>
      </c>
    </row>
    <row r="12" spans="2:6" ht="12.75">
      <c r="B12" s="82" t="s">
        <v>16</v>
      </c>
      <c r="C12" s="83"/>
      <c r="D12" s="90">
        <f>SUM(D41,D139,D169)</f>
        <v>2876074</v>
      </c>
      <c r="E12" s="90">
        <f>SUM(E41,E139,E169)</f>
        <v>6759593</v>
      </c>
      <c r="F12" s="90">
        <f>SUM(F41,F139,F169)</f>
        <v>9635667</v>
      </c>
    </row>
    <row r="13" spans="2:6" ht="12.75">
      <c r="B13" s="82" t="s">
        <v>17</v>
      </c>
      <c r="C13" s="83"/>
      <c r="D13" s="90">
        <f>SUM(D156)</f>
        <v>4182</v>
      </c>
      <c r="E13" s="90">
        <f>SUM(E156)</f>
        <v>0</v>
      </c>
      <c r="F13" s="90">
        <f>SUM(F156)</f>
        <v>4182</v>
      </c>
    </row>
    <row r="14" spans="2:6" ht="12.75">
      <c r="B14" s="87" t="s">
        <v>533</v>
      </c>
      <c r="C14" s="88"/>
      <c r="D14" s="89">
        <f>SUM(D15)</f>
        <v>5985471</v>
      </c>
      <c r="E14" s="89">
        <f>SUM(E15)</f>
        <v>127823</v>
      </c>
      <c r="F14" s="89">
        <f>SUM(D14,E14)</f>
        <v>6113294</v>
      </c>
    </row>
    <row r="15" spans="2:6" ht="12.75">
      <c r="B15" s="82" t="s">
        <v>8</v>
      </c>
      <c r="C15" s="83"/>
      <c r="D15" s="91">
        <f>SUM(D186)</f>
        <v>5985471</v>
      </c>
      <c r="E15" s="91">
        <f>SUM(E186)</f>
        <v>127823</v>
      </c>
      <c r="F15" s="91">
        <f>SUM(D15,E15)</f>
        <v>6113294</v>
      </c>
    </row>
    <row r="16" spans="2:6" ht="12.75">
      <c r="B16" s="92"/>
      <c r="C16" s="93"/>
      <c r="D16" s="94"/>
      <c r="E16" s="95"/>
      <c r="F16" s="96"/>
    </row>
    <row r="17" spans="2:6" ht="25.5">
      <c r="B17" s="87" t="s">
        <v>534</v>
      </c>
      <c r="C17" s="88"/>
      <c r="D17" s="83"/>
      <c r="E17" s="83"/>
      <c r="F17" s="91"/>
    </row>
    <row r="18" spans="2:6" ht="12.75">
      <c r="B18" s="82" t="s">
        <v>535</v>
      </c>
      <c r="C18" s="83" t="s">
        <v>536</v>
      </c>
      <c r="D18" s="91">
        <f>SUMIF($C$27:$C$172,$C$18,D$27:D$172)</f>
        <v>7565236</v>
      </c>
      <c r="E18" s="91">
        <f>SUMIF($C$27:$C$172,$C$18,E$27:E$172)</f>
        <v>22111540</v>
      </c>
      <c r="F18" s="91">
        <f>SUM(D18:E18)</f>
        <v>29676776</v>
      </c>
    </row>
    <row r="19" spans="2:6" ht="12.75">
      <c r="B19" s="82" t="s">
        <v>537</v>
      </c>
      <c r="C19" s="83" t="s">
        <v>538</v>
      </c>
      <c r="D19" s="91">
        <f>SUMIF($C$27:$C$172,$C$19,D$27:D$172)</f>
        <v>1136840</v>
      </c>
      <c r="E19" s="91">
        <f>SUMIF($C$27:$C$172,$C$19,E$27:E$172)</f>
        <v>0</v>
      </c>
      <c r="F19" s="91">
        <f>SUM(D19:E19)</f>
        <v>1136840</v>
      </c>
    </row>
    <row r="20" spans="2:6" ht="12.75">
      <c r="B20" s="82" t="s">
        <v>539</v>
      </c>
      <c r="C20" s="83" t="s">
        <v>540</v>
      </c>
      <c r="D20" s="91">
        <f>SUMIF($C$27:$C$172,$C$20,D$27:D$172)</f>
        <v>1474382</v>
      </c>
      <c r="E20" s="91">
        <f>SUMIF($C$27:$C$172,$C$20,E$27:E$172)</f>
        <v>0</v>
      </c>
      <c r="F20" s="91">
        <f>SUM(D20:E20)</f>
        <v>1474382</v>
      </c>
    </row>
    <row r="21" spans="2:6" ht="12.75">
      <c r="B21" s="92"/>
      <c r="C21" s="93"/>
      <c r="D21" s="93"/>
      <c r="E21" s="95"/>
      <c r="F21" s="96"/>
    </row>
    <row r="22" spans="2:6" ht="12.75">
      <c r="B22" s="97" t="s">
        <v>541</v>
      </c>
      <c r="C22" s="97"/>
      <c r="D22" s="97"/>
      <c r="E22" s="97"/>
      <c r="F22" s="97"/>
    </row>
    <row r="23" spans="2:6" ht="12.75">
      <c r="B23" s="98"/>
      <c r="C23" s="97"/>
      <c r="D23" s="97"/>
      <c r="E23" s="95"/>
      <c r="F23" s="99"/>
    </row>
    <row r="24" spans="1:6" ht="12.75" customHeight="1">
      <c r="A24" s="100" t="s">
        <v>542</v>
      </c>
      <c r="B24" s="101"/>
      <c r="C24" s="102"/>
      <c r="D24" s="84" t="s">
        <v>525</v>
      </c>
      <c r="E24" s="84"/>
      <c r="F24" s="84" t="s">
        <v>543</v>
      </c>
    </row>
    <row r="25" spans="1:6" ht="12.75">
      <c r="A25" s="100"/>
      <c r="B25" s="101"/>
      <c r="C25" s="102"/>
      <c r="D25" s="84" t="s">
        <v>527</v>
      </c>
      <c r="E25" s="85" t="s">
        <v>528</v>
      </c>
      <c r="F25" s="84"/>
    </row>
    <row r="26" spans="1:6" ht="12.75">
      <c r="A26" s="103"/>
      <c r="B26" s="104" t="s">
        <v>163</v>
      </c>
      <c r="C26" s="88"/>
      <c r="D26" s="105">
        <f>SUM(D27)</f>
        <v>18432</v>
      </c>
      <c r="E26" s="105"/>
      <c r="F26" s="105">
        <f>SUM(F27)</f>
        <v>18432</v>
      </c>
    </row>
    <row r="27" spans="1:6" ht="22.5" customHeight="1">
      <c r="A27" s="106" t="s">
        <v>164</v>
      </c>
      <c r="B27" s="104" t="s">
        <v>8</v>
      </c>
      <c r="C27" s="88"/>
      <c r="D27" s="89">
        <f>SUM(D28)</f>
        <v>18432</v>
      </c>
      <c r="E27" s="89"/>
      <c r="F27" s="89">
        <f>SUM(F28)</f>
        <v>18432</v>
      </c>
    </row>
    <row r="28" spans="1:6" ht="12.75">
      <c r="A28" s="106" t="s">
        <v>165</v>
      </c>
      <c r="B28" s="107" t="s">
        <v>544</v>
      </c>
      <c r="C28" s="83" t="s">
        <v>536</v>
      </c>
      <c r="D28" s="89">
        <v>18432</v>
      </c>
      <c r="E28" s="89"/>
      <c r="F28" s="89">
        <f>SUM(D28,E28)</f>
        <v>18432</v>
      </c>
    </row>
    <row r="29" spans="1:6" ht="12.75">
      <c r="A29" s="106"/>
      <c r="B29" s="104" t="s">
        <v>545</v>
      </c>
      <c r="C29" s="88"/>
      <c r="D29" s="89">
        <f>SUM(D30)</f>
        <v>30000</v>
      </c>
      <c r="E29" s="89"/>
      <c r="F29" s="89">
        <f>SUM(F30)</f>
        <v>30000</v>
      </c>
    </row>
    <row r="30" spans="1:6" ht="22.5" customHeight="1">
      <c r="A30" s="106" t="s">
        <v>207</v>
      </c>
      <c r="B30" s="104" t="s">
        <v>532</v>
      </c>
      <c r="C30" s="88"/>
      <c r="D30" s="89">
        <f>SUM(D31)</f>
        <v>30000</v>
      </c>
      <c r="E30" s="89"/>
      <c r="F30" s="89">
        <f>SUM(F31)</f>
        <v>30000</v>
      </c>
    </row>
    <row r="31" spans="1:6" ht="13.5">
      <c r="A31" s="106" t="s">
        <v>208</v>
      </c>
      <c r="B31" s="108" t="s">
        <v>546</v>
      </c>
      <c r="C31" s="109"/>
      <c r="D31" s="89">
        <f>SUM(D32)</f>
        <v>30000</v>
      </c>
      <c r="E31" s="89"/>
      <c r="F31" s="89">
        <f>SUM(D31,E31)</f>
        <v>30000</v>
      </c>
    </row>
    <row r="32" spans="1:6" ht="12.75">
      <c r="A32" s="106"/>
      <c r="B32" s="107" t="s">
        <v>547</v>
      </c>
      <c r="C32" s="83" t="s">
        <v>538</v>
      </c>
      <c r="D32" s="91">
        <v>30000</v>
      </c>
      <c r="E32" s="89"/>
      <c r="F32" s="89">
        <f>SUM(D32,E32)</f>
        <v>30000</v>
      </c>
    </row>
    <row r="33" spans="1:6" ht="12.75">
      <c r="A33" s="106"/>
      <c r="B33" s="104" t="s">
        <v>225</v>
      </c>
      <c r="C33" s="88"/>
      <c r="D33" s="89">
        <f>SUM(D34)</f>
        <v>63912</v>
      </c>
      <c r="E33" s="89"/>
      <c r="F33" s="89">
        <f>SUM(F34)</f>
        <v>63912</v>
      </c>
    </row>
    <row r="34" spans="1:6" ht="22.5" customHeight="1">
      <c r="A34" s="106" t="s">
        <v>228</v>
      </c>
      <c r="B34" s="104" t="s">
        <v>11</v>
      </c>
      <c r="C34" s="88"/>
      <c r="D34" s="89">
        <f>SUM(D35)</f>
        <v>63912</v>
      </c>
      <c r="E34" s="89"/>
      <c r="F34" s="89">
        <f>SUM(F35)</f>
        <v>63912</v>
      </c>
    </row>
    <row r="35" spans="1:6" ht="13.5">
      <c r="A35" s="106" t="s">
        <v>229</v>
      </c>
      <c r="B35" s="108" t="s">
        <v>548</v>
      </c>
      <c r="C35" s="109"/>
      <c r="D35" s="89">
        <f>SUM(D36)</f>
        <v>63912</v>
      </c>
      <c r="E35" s="89"/>
      <c r="F35" s="89">
        <f>SUM(D35,E35)</f>
        <v>63912</v>
      </c>
    </row>
    <row r="36" spans="1:6" ht="25.5">
      <c r="A36" s="106"/>
      <c r="B36" s="107" t="s">
        <v>549</v>
      </c>
      <c r="C36" s="83" t="s">
        <v>538</v>
      </c>
      <c r="D36" s="91">
        <v>63912</v>
      </c>
      <c r="E36" s="89"/>
      <c r="F36" s="91">
        <f>SUM(D36,E36)</f>
        <v>63912</v>
      </c>
    </row>
    <row r="37" spans="1:6" ht="12.75">
      <c r="A37" s="106"/>
      <c r="B37" s="104" t="s">
        <v>237</v>
      </c>
      <c r="C37" s="88"/>
      <c r="D37" s="89">
        <f>SUM(D38,D41)</f>
        <v>404233</v>
      </c>
      <c r="E37" s="89">
        <f>SUM(E38,E41)</f>
        <v>2085593</v>
      </c>
      <c r="F37" s="91">
        <f>SUM(D37,E37)</f>
        <v>2489826</v>
      </c>
    </row>
    <row r="38" spans="1:6" ht="22.5" customHeight="1">
      <c r="A38" s="106" t="s">
        <v>238</v>
      </c>
      <c r="B38" s="104" t="s">
        <v>8</v>
      </c>
      <c r="C38" s="88"/>
      <c r="D38" s="89">
        <f>SUM(D39)</f>
        <v>346713</v>
      </c>
      <c r="E38" s="89"/>
      <c r="F38" s="89">
        <f>SUM(F39)</f>
        <v>346713</v>
      </c>
    </row>
    <row r="39" spans="1:6" ht="13.5">
      <c r="A39" s="106" t="s">
        <v>240</v>
      </c>
      <c r="B39" s="108" t="s">
        <v>550</v>
      </c>
      <c r="C39" s="109"/>
      <c r="D39" s="89">
        <f>SUM(D40)</f>
        <v>346713</v>
      </c>
      <c r="E39" s="89"/>
      <c r="F39" s="89">
        <f>SUM(F40)</f>
        <v>346713</v>
      </c>
    </row>
    <row r="40" spans="1:6" ht="25.5">
      <c r="A40" s="106"/>
      <c r="B40" s="107" t="s">
        <v>551</v>
      </c>
      <c r="C40" s="83" t="s">
        <v>540</v>
      </c>
      <c r="D40" s="91">
        <f>299876+46837</f>
        <v>346713</v>
      </c>
      <c r="E40" s="89"/>
      <c r="F40" s="89">
        <f>SUM(D40,E40)</f>
        <v>346713</v>
      </c>
    </row>
    <row r="41" spans="1:6" ht="22.5" customHeight="1">
      <c r="A41" s="106" t="s">
        <v>244</v>
      </c>
      <c r="B41" s="104" t="s">
        <v>16</v>
      </c>
      <c r="C41" s="88"/>
      <c r="D41" s="89">
        <f>SUM(D42,D44)</f>
        <v>57520</v>
      </c>
      <c r="E41" s="89">
        <f>SUM(E42,E44)</f>
        <v>2085593</v>
      </c>
      <c r="F41" s="89">
        <f>SUM(D41,E41)</f>
        <v>2143113</v>
      </c>
    </row>
    <row r="42" spans="1:6" ht="13.5">
      <c r="A42" s="106" t="s">
        <v>245</v>
      </c>
      <c r="B42" s="108" t="s">
        <v>552</v>
      </c>
      <c r="C42" s="109"/>
      <c r="D42" s="89">
        <f>SUM(D43)</f>
        <v>57520</v>
      </c>
      <c r="E42" s="89"/>
      <c r="F42" s="89">
        <f>SUM(F43)</f>
        <v>57520</v>
      </c>
    </row>
    <row r="43" spans="1:6" ht="12.75">
      <c r="A43" s="106"/>
      <c r="B43" s="107" t="s">
        <v>553</v>
      </c>
      <c r="C43" s="83" t="s">
        <v>538</v>
      </c>
      <c r="D43" s="91">
        <v>57520</v>
      </c>
      <c r="E43" s="91"/>
      <c r="F43" s="91">
        <f>SUM(D43,E43)</f>
        <v>57520</v>
      </c>
    </row>
    <row r="44" spans="1:6" ht="13.5">
      <c r="A44" s="106" t="s">
        <v>256</v>
      </c>
      <c r="B44" s="108" t="s">
        <v>554</v>
      </c>
      <c r="C44" s="109"/>
      <c r="D44" s="89"/>
      <c r="E44" s="89">
        <f>SUM(E45:E46)</f>
        <v>2085593</v>
      </c>
      <c r="F44" s="89">
        <f>SUM(D44,E44)</f>
        <v>2085593</v>
      </c>
    </row>
    <row r="45" spans="1:6" ht="25.5">
      <c r="A45" s="106"/>
      <c r="B45" s="107" t="s">
        <v>555</v>
      </c>
      <c r="C45" s="83" t="s">
        <v>536</v>
      </c>
      <c r="D45" s="91"/>
      <c r="E45" s="91">
        <v>1914818</v>
      </c>
      <c r="F45" s="89">
        <f>SUM(D45,E45)</f>
        <v>1914818</v>
      </c>
    </row>
    <row r="46" spans="1:6" ht="25.5">
      <c r="A46" s="106"/>
      <c r="B46" s="107" t="s">
        <v>556</v>
      </c>
      <c r="C46" s="83" t="s">
        <v>536</v>
      </c>
      <c r="D46" s="91"/>
      <c r="E46" s="91">
        <v>170775</v>
      </c>
      <c r="F46" s="91">
        <f>SUM(D46,E46)</f>
        <v>170775</v>
      </c>
    </row>
    <row r="47" spans="1:6" ht="12.75">
      <c r="A47" s="106"/>
      <c r="B47" s="104" t="s">
        <v>265</v>
      </c>
      <c r="C47" s="88"/>
      <c r="D47" s="89">
        <f>SUM(D48)</f>
        <v>17515</v>
      </c>
      <c r="E47" s="91"/>
      <c r="F47" s="89">
        <f>SUM(F48)</f>
        <v>17515</v>
      </c>
    </row>
    <row r="48" spans="1:6" ht="22.5" customHeight="1">
      <c r="A48" s="106" t="s">
        <v>269</v>
      </c>
      <c r="B48" s="104" t="s">
        <v>532</v>
      </c>
      <c r="C48" s="88"/>
      <c r="D48" s="89">
        <f>SUM(D49,D51,D53)</f>
        <v>17515</v>
      </c>
      <c r="E48" s="89"/>
      <c r="F48" s="89">
        <f>SUM(F49,F51,F53)</f>
        <v>17515</v>
      </c>
    </row>
    <row r="49" spans="1:6" ht="13.5">
      <c r="A49" s="106" t="s">
        <v>276</v>
      </c>
      <c r="B49" s="108" t="s">
        <v>557</v>
      </c>
      <c r="C49" s="110"/>
      <c r="D49" s="89">
        <f>SUM(D50)</f>
        <v>3000</v>
      </c>
      <c r="E49" s="89"/>
      <c r="F49" s="89">
        <f>SUM(D49,E49)</f>
        <v>3000</v>
      </c>
    </row>
    <row r="50" spans="1:6" ht="12.75">
      <c r="A50" s="106"/>
      <c r="B50" s="107" t="s">
        <v>558</v>
      </c>
      <c r="C50" s="83" t="s">
        <v>538</v>
      </c>
      <c r="D50" s="91">
        <v>3000</v>
      </c>
      <c r="E50" s="89"/>
      <c r="F50" s="91">
        <f>SUM(D50,E50)</f>
        <v>3000</v>
      </c>
    </row>
    <row r="51" spans="1:6" ht="13.5">
      <c r="A51" s="106" t="s">
        <v>296</v>
      </c>
      <c r="B51" s="108" t="s">
        <v>559</v>
      </c>
      <c r="C51" s="109"/>
      <c r="D51" s="89">
        <f>SUM(D52)</f>
        <v>5000</v>
      </c>
      <c r="E51" s="91"/>
      <c r="F51" s="89">
        <f>SUM(D51,E51)</f>
        <v>5000</v>
      </c>
    </row>
    <row r="52" spans="1:6" ht="25.5">
      <c r="A52" s="106"/>
      <c r="B52" s="107" t="s">
        <v>560</v>
      </c>
      <c r="C52" s="83" t="s">
        <v>536</v>
      </c>
      <c r="D52" s="91">
        <v>5000</v>
      </c>
      <c r="E52" s="91"/>
      <c r="F52" s="89">
        <f>SUM(D52,E52)</f>
        <v>5000</v>
      </c>
    </row>
    <row r="53" spans="1:6" ht="13.5">
      <c r="A53" s="106" t="s">
        <v>303</v>
      </c>
      <c r="B53" s="108" t="s">
        <v>561</v>
      </c>
      <c r="C53" s="109"/>
      <c r="D53" s="89">
        <f>SUM(D54)</f>
        <v>9515</v>
      </c>
      <c r="E53" s="89"/>
      <c r="F53" s="89">
        <f>SUM(F54)</f>
        <v>9515</v>
      </c>
    </row>
    <row r="54" spans="1:6" ht="38.25">
      <c r="A54" s="106"/>
      <c r="B54" s="107" t="s">
        <v>562</v>
      </c>
      <c r="C54" s="83" t="s">
        <v>536</v>
      </c>
      <c r="D54" s="91">
        <f>19515-10000</f>
        <v>9515</v>
      </c>
      <c r="E54" s="91"/>
      <c r="F54" s="91">
        <f>SUM(D54,E54)</f>
        <v>9515</v>
      </c>
    </row>
    <row r="55" spans="1:6" ht="12.75">
      <c r="A55" s="106"/>
      <c r="B55" s="111" t="s">
        <v>317</v>
      </c>
      <c r="C55" s="112"/>
      <c r="D55" s="89">
        <f>SUM(D56,D58,D97,D101)</f>
        <v>4582941</v>
      </c>
      <c r="E55" s="89">
        <f>SUM(E56,E58,E97,E101)</f>
        <v>15270947</v>
      </c>
      <c r="F55" s="89">
        <f>SUM(F56,F58,F97,F101)</f>
        <v>19853888</v>
      </c>
    </row>
    <row r="56" spans="1:6" ht="22.5" customHeight="1">
      <c r="A56" s="106" t="s">
        <v>318</v>
      </c>
      <c r="B56" s="104" t="s">
        <v>8</v>
      </c>
      <c r="C56" s="88"/>
      <c r="D56" s="89">
        <f>SUM(D57)</f>
        <v>7887</v>
      </c>
      <c r="E56" s="89"/>
      <c r="F56" s="89">
        <f>SUM(F57)</f>
        <v>7887</v>
      </c>
    </row>
    <row r="57" spans="1:6" ht="18.75" customHeight="1">
      <c r="A57" s="106"/>
      <c r="B57" s="113" t="s">
        <v>563</v>
      </c>
      <c r="C57" s="83" t="s">
        <v>536</v>
      </c>
      <c r="D57" s="91">
        <v>7887</v>
      </c>
      <c r="E57" s="89"/>
      <c r="F57" s="91">
        <f>SUM(D57,E57)</f>
        <v>7887</v>
      </c>
    </row>
    <row r="58" spans="1:6" ht="22.5" customHeight="1">
      <c r="A58" s="106" t="s">
        <v>323</v>
      </c>
      <c r="B58" s="111" t="s">
        <v>11</v>
      </c>
      <c r="C58" s="112"/>
      <c r="D58" s="89">
        <f>SUM(D59,D95,D92)</f>
        <v>4357822</v>
      </c>
      <c r="E58" s="89">
        <f>SUM(E59,E92,E95)</f>
        <v>15073832</v>
      </c>
      <c r="F58" s="89">
        <f>SUM(D58,E58)</f>
        <v>19431654</v>
      </c>
    </row>
    <row r="59" spans="1:6" ht="13.5">
      <c r="A59" s="106" t="s">
        <v>324</v>
      </c>
      <c r="B59" s="114" t="s">
        <v>564</v>
      </c>
      <c r="C59" s="115"/>
      <c r="D59" s="116">
        <f>SUM(D60,D66,D67,D83,D85,D87,D84)</f>
        <v>4222902</v>
      </c>
      <c r="E59" s="116">
        <f>SUM(E60,E66,E67,E83,E85,E87,E84)</f>
        <v>13578367</v>
      </c>
      <c r="F59" s="116">
        <f>SUM(F60,F66,F67,F83,F85,F87,F84)</f>
        <v>17801269</v>
      </c>
    </row>
    <row r="60" spans="1:6" ht="12.75">
      <c r="A60" s="106"/>
      <c r="B60" s="111" t="s">
        <v>565</v>
      </c>
      <c r="C60" s="112"/>
      <c r="D60" s="89">
        <f>SUM(D61:D65)</f>
        <v>2988867</v>
      </c>
      <c r="E60" s="89">
        <f>SUM(E61:E65)</f>
        <v>13578367</v>
      </c>
      <c r="F60" s="89">
        <f aca="true" t="shared" si="0" ref="F60:F108">SUM(D60,E60)</f>
        <v>16567234</v>
      </c>
    </row>
    <row r="61" spans="1:6" ht="12.75">
      <c r="A61" s="106"/>
      <c r="B61" s="113" t="s">
        <v>566</v>
      </c>
      <c r="C61" s="83" t="s">
        <v>536</v>
      </c>
      <c r="D61" s="91">
        <v>2281646</v>
      </c>
      <c r="E61" s="91">
        <v>12929326</v>
      </c>
      <c r="F61" s="91">
        <f t="shared" si="0"/>
        <v>15210972</v>
      </c>
    </row>
    <row r="62" spans="1:6" ht="25.5">
      <c r="A62" s="106"/>
      <c r="B62" s="113" t="s">
        <v>567</v>
      </c>
      <c r="C62" s="83" t="s">
        <v>536</v>
      </c>
      <c r="D62" s="91">
        <v>177026</v>
      </c>
      <c r="E62" s="91">
        <v>649041</v>
      </c>
      <c r="F62" s="91">
        <f t="shared" si="0"/>
        <v>826067</v>
      </c>
    </row>
    <row r="63" spans="1:6" ht="12.75">
      <c r="A63" s="106"/>
      <c r="B63" s="113" t="s">
        <v>568</v>
      </c>
      <c r="C63" s="83" t="s">
        <v>536</v>
      </c>
      <c r="D63" s="91">
        <v>36876</v>
      </c>
      <c r="E63" s="89"/>
      <c r="F63" s="91">
        <f t="shared" si="0"/>
        <v>36876</v>
      </c>
    </row>
    <row r="64" spans="1:6" ht="12.75">
      <c r="A64" s="106"/>
      <c r="B64" s="113" t="s">
        <v>569</v>
      </c>
      <c r="C64" s="83" t="s">
        <v>536</v>
      </c>
      <c r="D64" s="91">
        <v>193319</v>
      </c>
      <c r="E64" s="89"/>
      <c r="F64" s="91">
        <f t="shared" si="0"/>
        <v>193319</v>
      </c>
    </row>
    <row r="65" spans="1:6" ht="12.75">
      <c r="A65" s="106"/>
      <c r="B65" s="113" t="s">
        <v>570</v>
      </c>
      <c r="C65" s="83" t="s">
        <v>536</v>
      </c>
      <c r="D65" s="91">
        <v>300000</v>
      </c>
      <c r="E65" s="89"/>
      <c r="F65" s="91">
        <f t="shared" si="0"/>
        <v>300000</v>
      </c>
    </row>
    <row r="66" spans="1:6" ht="12.75">
      <c r="A66" s="106"/>
      <c r="B66" s="111" t="s">
        <v>571</v>
      </c>
      <c r="C66" s="83" t="s">
        <v>536</v>
      </c>
      <c r="D66" s="89">
        <v>64000</v>
      </c>
      <c r="E66" s="89"/>
      <c r="F66" s="89">
        <f t="shared" si="0"/>
        <v>64000</v>
      </c>
    </row>
    <row r="67" spans="1:6" ht="12.75">
      <c r="A67" s="106"/>
      <c r="B67" s="111" t="s">
        <v>572</v>
      </c>
      <c r="C67" s="83" t="s">
        <v>536</v>
      </c>
      <c r="D67" s="89">
        <v>650000</v>
      </c>
      <c r="E67" s="89"/>
      <c r="F67" s="89">
        <f t="shared" si="0"/>
        <v>650000</v>
      </c>
    </row>
    <row r="68" spans="1:6" ht="12.75">
      <c r="A68" s="106"/>
      <c r="B68" s="113" t="s">
        <v>573</v>
      </c>
      <c r="C68" s="83"/>
      <c r="D68" s="89"/>
      <c r="E68" s="89"/>
      <c r="F68" s="89"/>
    </row>
    <row r="69" spans="1:6" ht="12.75">
      <c r="A69" s="106"/>
      <c r="B69" s="113" t="s">
        <v>574</v>
      </c>
      <c r="C69" s="83"/>
      <c r="D69" s="89"/>
      <c r="E69" s="89"/>
      <c r="F69" s="89"/>
    </row>
    <row r="70" spans="1:6" ht="12.75">
      <c r="A70" s="106"/>
      <c r="B70" s="113" t="s">
        <v>575</v>
      </c>
      <c r="C70" s="83"/>
      <c r="D70" s="89"/>
      <c r="E70" s="89"/>
      <c r="F70" s="89"/>
    </row>
    <row r="71" spans="1:6" ht="12.75">
      <c r="A71" s="106"/>
      <c r="B71" s="113" t="s">
        <v>576</v>
      </c>
      <c r="C71" s="83"/>
      <c r="D71" s="89"/>
      <c r="E71" s="89"/>
      <c r="F71" s="89"/>
    </row>
    <row r="72" spans="1:6" ht="12.75">
      <c r="A72" s="106"/>
      <c r="B72" s="113" t="s">
        <v>577</v>
      </c>
      <c r="C72" s="83"/>
      <c r="D72" s="89"/>
      <c r="E72" s="89"/>
      <c r="F72" s="89"/>
    </row>
    <row r="73" spans="1:6" ht="12.75">
      <c r="A73" s="106"/>
      <c r="B73" s="113" t="s">
        <v>578</v>
      </c>
      <c r="C73" s="83"/>
      <c r="D73" s="89"/>
      <c r="E73" s="89"/>
      <c r="F73" s="89"/>
    </row>
    <row r="74" spans="1:6" ht="12.75">
      <c r="A74" s="106"/>
      <c r="B74" s="113" t="s">
        <v>579</v>
      </c>
      <c r="C74" s="83"/>
      <c r="D74" s="89"/>
      <c r="E74" s="89"/>
      <c r="F74" s="89"/>
    </row>
    <row r="75" spans="1:6" ht="12.75">
      <c r="A75" s="106"/>
      <c r="B75" s="113" t="s">
        <v>580</v>
      </c>
      <c r="C75" s="83"/>
      <c r="D75" s="89"/>
      <c r="E75" s="89"/>
      <c r="F75" s="89"/>
    </row>
    <row r="76" spans="1:6" ht="12.75">
      <c r="A76" s="106"/>
      <c r="B76" s="113" t="s">
        <v>581</v>
      </c>
      <c r="C76" s="83"/>
      <c r="D76" s="89"/>
      <c r="E76" s="89"/>
      <c r="F76" s="89"/>
    </row>
    <row r="77" spans="1:6" ht="12.75">
      <c r="A77" s="106"/>
      <c r="B77" s="113" t="s">
        <v>582</v>
      </c>
      <c r="C77" s="83"/>
      <c r="D77" s="89"/>
      <c r="E77" s="89"/>
      <c r="F77" s="89"/>
    </row>
    <row r="78" spans="1:6" ht="12.75">
      <c r="A78" s="106"/>
      <c r="B78" s="113" t="s">
        <v>583</v>
      </c>
      <c r="C78" s="83"/>
      <c r="D78" s="89"/>
      <c r="E78" s="89"/>
      <c r="F78" s="89"/>
    </row>
    <row r="79" spans="1:6" ht="12.75">
      <c r="A79" s="106"/>
      <c r="B79" s="113" t="s">
        <v>584</v>
      </c>
      <c r="C79" s="83"/>
      <c r="D79" s="89"/>
      <c r="E79" s="89"/>
      <c r="F79" s="89"/>
    </row>
    <row r="80" spans="1:6" ht="12.75">
      <c r="A80" s="106"/>
      <c r="B80" s="113" t="s">
        <v>585</v>
      </c>
      <c r="C80" s="83"/>
      <c r="D80" s="89"/>
      <c r="E80" s="89"/>
      <c r="F80" s="89"/>
    </row>
    <row r="81" spans="1:6" ht="12.75">
      <c r="A81" s="106"/>
      <c r="B81" s="113" t="s">
        <v>586</v>
      </c>
      <c r="C81" s="83"/>
      <c r="D81" s="89"/>
      <c r="E81" s="89"/>
      <c r="F81" s="89"/>
    </row>
    <row r="82" spans="1:6" ht="12.75">
      <c r="A82" s="106"/>
      <c r="B82" s="113" t="s">
        <v>587</v>
      </c>
      <c r="C82" s="83"/>
      <c r="D82" s="89"/>
      <c r="E82" s="89"/>
      <c r="F82" s="89"/>
    </row>
    <row r="83" spans="1:6" ht="12.75">
      <c r="A83" s="106"/>
      <c r="B83" s="111" t="s">
        <v>588</v>
      </c>
      <c r="C83" s="83" t="s">
        <v>536</v>
      </c>
      <c r="D83" s="89">
        <v>30000</v>
      </c>
      <c r="E83" s="89"/>
      <c r="F83" s="89">
        <f t="shared" si="0"/>
        <v>30000</v>
      </c>
    </row>
    <row r="84" spans="1:6" ht="12.75">
      <c r="A84" s="106"/>
      <c r="B84" s="111" t="s">
        <v>589</v>
      </c>
      <c r="C84" s="83" t="s">
        <v>536</v>
      </c>
      <c r="D84" s="89">
        <v>5000</v>
      </c>
      <c r="E84" s="89"/>
      <c r="F84" s="89">
        <f t="shared" si="0"/>
        <v>5000</v>
      </c>
    </row>
    <row r="85" spans="1:6" ht="12.75">
      <c r="A85" s="106"/>
      <c r="B85" s="111" t="s">
        <v>590</v>
      </c>
      <c r="C85" s="83"/>
      <c r="D85" s="89">
        <f>SUM(D86)</f>
        <v>55000</v>
      </c>
      <c r="E85" s="89"/>
      <c r="F85" s="89">
        <f t="shared" si="0"/>
        <v>55000</v>
      </c>
    </row>
    <row r="86" spans="1:6" ht="12.75">
      <c r="A86" s="106"/>
      <c r="B86" s="113" t="s">
        <v>591</v>
      </c>
      <c r="C86" s="117" t="s">
        <v>536</v>
      </c>
      <c r="D86" s="91">
        <v>55000</v>
      </c>
      <c r="E86" s="89"/>
      <c r="F86" s="91">
        <f t="shared" si="0"/>
        <v>55000</v>
      </c>
    </row>
    <row r="87" spans="1:6" ht="12.75">
      <c r="A87" s="106"/>
      <c r="B87" s="111" t="s">
        <v>592</v>
      </c>
      <c r="C87" s="83"/>
      <c r="D87" s="89">
        <f>SUM(D88:D91)</f>
        <v>430035</v>
      </c>
      <c r="E87" s="89"/>
      <c r="F87" s="89">
        <f t="shared" si="0"/>
        <v>430035</v>
      </c>
    </row>
    <row r="88" spans="1:6" ht="12.75">
      <c r="A88" s="106"/>
      <c r="B88" s="113" t="s">
        <v>593</v>
      </c>
      <c r="C88" s="83" t="s">
        <v>538</v>
      </c>
      <c r="D88" s="91">
        <v>31060</v>
      </c>
      <c r="E88" s="89"/>
      <c r="F88" s="91">
        <f t="shared" si="0"/>
        <v>31060</v>
      </c>
    </row>
    <row r="89" spans="1:6" ht="12.75">
      <c r="A89" s="106"/>
      <c r="B89" s="113" t="s">
        <v>594</v>
      </c>
      <c r="C89" s="83" t="s">
        <v>538</v>
      </c>
      <c r="D89" s="91">
        <v>95368</v>
      </c>
      <c r="E89" s="89"/>
      <c r="F89" s="91">
        <f t="shared" si="0"/>
        <v>95368</v>
      </c>
    </row>
    <row r="90" spans="1:6" ht="12.75">
      <c r="A90" s="106"/>
      <c r="B90" s="113" t="s">
        <v>595</v>
      </c>
      <c r="C90" s="83" t="s">
        <v>538</v>
      </c>
      <c r="D90" s="91">
        <v>267816</v>
      </c>
      <c r="E90" s="89"/>
      <c r="F90" s="91">
        <f t="shared" si="0"/>
        <v>267816</v>
      </c>
    </row>
    <row r="91" spans="1:6" ht="12.75">
      <c r="A91" s="106"/>
      <c r="B91" s="113" t="s">
        <v>596</v>
      </c>
      <c r="C91" s="83" t="s">
        <v>538</v>
      </c>
      <c r="D91" s="91">
        <v>35791</v>
      </c>
      <c r="E91" s="89"/>
      <c r="F91" s="91">
        <f t="shared" si="0"/>
        <v>35791</v>
      </c>
    </row>
    <row r="92" spans="1:6" ht="12.75">
      <c r="A92" s="106" t="s">
        <v>329</v>
      </c>
      <c r="B92" s="111" t="s">
        <v>331</v>
      </c>
      <c r="C92" s="83"/>
      <c r="D92" s="89">
        <f>SUM(D93,D94)</f>
        <v>104920</v>
      </c>
      <c r="E92" s="89">
        <f>SUM(E93,E94)</f>
        <v>199070</v>
      </c>
      <c r="F92" s="89">
        <f t="shared" si="0"/>
        <v>303990</v>
      </c>
    </row>
    <row r="93" spans="1:6" ht="12.75">
      <c r="A93" s="106"/>
      <c r="B93" s="113" t="s">
        <v>597</v>
      </c>
      <c r="C93" s="117" t="s">
        <v>536</v>
      </c>
      <c r="D93" s="91">
        <v>6500</v>
      </c>
      <c r="E93" s="91"/>
      <c r="F93" s="91">
        <f t="shared" si="0"/>
        <v>6500</v>
      </c>
    </row>
    <row r="94" spans="1:6" ht="12.75">
      <c r="A94" s="106"/>
      <c r="B94" s="113" t="s">
        <v>598</v>
      </c>
      <c r="C94" s="117" t="s">
        <v>536</v>
      </c>
      <c r="D94" s="91">
        <v>98420</v>
      </c>
      <c r="E94" s="91">
        <v>199070</v>
      </c>
      <c r="F94" s="91">
        <f t="shared" si="0"/>
        <v>297490</v>
      </c>
    </row>
    <row r="95" spans="1:6" ht="12.75">
      <c r="A95" s="106" t="s">
        <v>333</v>
      </c>
      <c r="B95" s="104" t="s">
        <v>335</v>
      </c>
      <c r="C95" s="83"/>
      <c r="D95" s="89">
        <f>SUM(D96)</f>
        <v>30000</v>
      </c>
      <c r="E95" s="89">
        <f>SUM(E96)</f>
        <v>1296395</v>
      </c>
      <c r="F95" s="89">
        <f t="shared" si="0"/>
        <v>1326395</v>
      </c>
    </row>
    <row r="96" spans="1:6" ht="25.5">
      <c r="A96" s="106"/>
      <c r="B96" s="107" t="s">
        <v>599</v>
      </c>
      <c r="C96" s="82" t="s">
        <v>536</v>
      </c>
      <c r="D96" s="91">
        <v>30000</v>
      </c>
      <c r="E96" s="91">
        <v>1296395</v>
      </c>
      <c r="F96" s="91">
        <f t="shared" si="0"/>
        <v>1326395</v>
      </c>
    </row>
    <row r="97" spans="1:6" ht="22.5" customHeight="1">
      <c r="A97" s="106" t="s">
        <v>337</v>
      </c>
      <c r="B97" s="111" t="s">
        <v>12</v>
      </c>
      <c r="C97" s="112"/>
      <c r="D97" s="89">
        <f>SUM(D98)</f>
        <v>97102</v>
      </c>
      <c r="E97" s="89">
        <f>SUM(E98)</f>
        <v>197115</v>
      </c>
      <c r="F97" s="89">
        <f t="shared" si="0"/>
        <v>294217</v>
      </c>
    </row>
    <row r="98" spans="1:6" ht="13.5">
      <c r="A98" s="106" t="s">
        <v>349</v>
      </c>
      <c r="B98" s="114" t="s">
        <v>600</v>
      </c>
      <c r="C98" s="115"/>
      <c r="D98" s="89">
        <f>SUM(D99,D100)</f>
        <v>97102</v>
      </c>
      <c r="E98" s="89">
        <f>SUM(E99,E100)</f>
        <v>197115</v>
      </c>
      <c r="F98" s="89">
        <f t="shared" si="0"/>
        <v>294217</v>
      </c>
    </row>
    <row r="99" spans="1:6" ht="12.75">
      <c r="A99" s="106"/>
      <c r="B99" s="113" t="s">
        <v>601</v>
      </c>
      <c r="C99" s="83" t="s">
        <v>536</v>
      </c>
      <c r="D99" s="91">
        <v>33912</v>
      </c>
      <c r="E99" s="89"/>
      <c r="F99" s="91">
        <f t="shared" si="0"/>
        <v>33912</v>
      </c>
    </row>
    <row r="100" spans="1:6" ht="12.75">
      <c r="A100" s="106"/>
      <c r="B100" s="113" t="s">
        <v>602</v>
      </c>
      <c r="C100" s="83" t="s">
        <v>536</v>
      </c>
      <c r="D100" s="91">
        <v>63190</v>
      </c>
      <c r="E100" s="91">
        <v>197115</v>
      </c>
      <c r="F100" s="91">
        <f t="shared" si="0"/>
        <v>260305</v>
      </c>
    </row>
    <row r="101" spans="1:6" ht="22.5" customHeight="1">
      <c r="A101" s="106" t="s">
        <v>355</v>
      </c>
      <c r="B101" s="111" t="s">
        <v>603</v>
      </c>
      <c r="C101" s="112"/>
      <c r="D101" s="89">
        <f>SUM(D102,D107)</f>
        <v>120130</v>
      </c>
      <c r="E101" s="89"/>
      <c r="F101" s="89">
        <f t="shared" si="0"/>
        <v>120130</v>
      </c>
    </row>
    <row r="102" spans="1:6" ht="13.5">
      <c r="A102" s="106" t="s">
        <v>359</v>
      </c>
      <c r="B102" s="114" t="s">
        <v>604</v>
      </c>
      <c r="C102" s="115"/>
      <c r="D102" s="89">
        <f>SUM(D103:D106)</f>
        <v>112000</v>
      </c>
      <c r="E102" s="89"/>
      <c r="F102" s="89">
        <f t="shared" si="0"/>
        <v>112000</v>
      </c>
    </row>
    <row r="103" spans="1:6" ht="25.5">
      <c r="A103" s="106"/>
      <c r="B103" s="113" t="s">
        <v>605</v>
      </c>
      <c r="C103" s="83" t="s">
        <v>536</v>
      </c>
      <c r="D103" s="91">
        <v>64000</v>
      </c>
      <c r="E103" s="89"/>
      <c r="F103" s="91">
        <f t="shared" si="0"/>
        <v>64000</v>
      </c>
    </row>
    <row r="104" spans="1:6" ht="12.75">
      <c r="A104" s="106"/>
      <c r="B104" s="113" t="s">
        <v>606</v>
      </c>
      <c r="C104" s="83" t="s">
        <v>536</v>
      </c>
      <c r="D104" s="91">
        <v>26800</v>
      </c>
      <c r="E104" s="89"/>
      <c r="F104" s="91">
        <f t="shared" si="0"/>
        <v>26800</v>
      </c>
    </row>
    <row r="105" spans="1:6" ht="12.75">
      <c r="A105" s="106"/>
      <c r="B105" s="113" t="s">
        <v>607</v>
      </c>
      <c r="C105" s="83" t="s">
        <v>536</v>
      </c>
      <c r="D105" s="91">
        <v>10000</v>
      </c>
      <c r="E105" s="89"/>
      <c r="F105" s="91">
        <f t="shared" si="0"/>
        <v>10000</v>
      </c>
    </row>
    <row r="106" spans="1:6" ht="25.5">
      <c r="A106" s="106"/>
      <c r="B106" s="113" t="s">
        <v>608</v>
      </c>
      <c r="C106" s="83" t="s">
        <v>536</v>
      </c>
      <c r="D106" s="91">
        <v>11200</v>
      </c>
      <c r="E106" s="89"/>
      <c r="F106" s="91">
        <f t="shared" si="0"/>
        <v>11200</v>
      </c>
    </row>
    <row r="107" spans="1:6" ht="13.5">
      <c r="A107" s="106" t="s">
        <v>362</v>
      </c>
      <c r="B107" s="114" t="s">
        <v>609</v>
      </c>
      <c r="C107" s="112"/>
      <c r="D107" s="89">
        <f>SUM(D108)</f>
        <v>8130</v>
      </c>
      <c r="E107" s="89"/>
      <c r="F107" s="89">
        <f t="shared" si="0"/>
        <v>8130</v>
      </c>
    </row>
    <row r="108" spans="1:6" ht="12.75">
      <c r="A108" s="106"/>
      <c r="B108" s="113" t="s">
        <v>610</v>
      </c>
      <c r="C108" s="83" t="s">
        <v>536</v>
      </c>
      <c r="D108" s="91">
        <v>8130</v>
      </c>
      <c r="E108" s="89"/>
      <c r="F108" s="91">
        <f t="shared" si="0"/>
        <v>8130</v>
      </c>
    </row>
    <row r="109" spans="1:6" ht="25.5">
      <c r="A109" s="106"/>
      <c r="B109" s="104" t="s">
        <v>611</v>
      </c>
      <c r="C109" s="87"/>
      <c r="D109" s="89">
        <f>SUM(D110)</f>
        <v>150000</v>
      </c>
      <c r="E109" s="89"/>
      <c r="F109" s="89">
        <f>SUM(D109,E109)</f>
        <v>150000</v>
      </c>
    </row>
    <row r="110" spans="1:6" ht="22.5" customHeight="1">
      <c r="A110" s="106" t="s">
        <v>375</v>
      </c>
      <c r="B110" s="104" t="s">
        <v>612</v>
      </c>
      <c r="C110" s="87"/>
      <c r="D110" s="89">
        <f>SUM(D111)</f>
        <v>150000</v>
      </c>
      <c r="E110" s="89"/>
      <c r="F110" s="89">
        <f>SUM(F111)</f>
        <v>150000</v>
      </c>
    </row>
    <row r="111" spans="1:6" ht="13.5">
      <c r="A111" s="106" t="s">
        <v>376</v>
      </c>
      <c r="B111" s="108" t="s">
        <v>613</v>
      </c>
      <c r="C111" s="83" t="s">
        <v>536</v>
      </c>
      <c r="D111" s="91">
        <v>150000</v>
      </c>
      <c r="E111" s="89"/>
      <c r="F111" s="91">
        <f>SUM(D110:E110)</f>
        <v>150000</v>
      </c>
    </row>
    <row r="112" spans="1:6" ht="12.75">
      <c r="A112" s="106"/>
      <c r="B112" s="111" t="s">
        <v>382</v>
      </c>
      <c r="C112" s="112"/>
      <c r="D112" s="89">
        <f>SUM(D113,D116,D124,D128,D139,D156)</f>
        <v>3628913</v>
      </c>
      <c r="E112" s="89">
        <f>SUM(E113,E116,E124,E128,E139,E156)</f>
        <v>4755000</v>
      </c>
      <c r="F112" s="89">
        <f>SUM(F113,F116,F124,F128,F139,F156)</f>
        <v>8383913</v>
      </c>
    </row>
    <row r="113" spans="1:6" ht="22.5" customHeight="1">
      <c r="A113" s="106" t="s">
        <v>383</v>
      </c>
      <c r="B113" s="104" t="s">
        <v>8</v>
      </c>
      <c r="C113" s="88"/>
      <c r="D113" s="89">
        <f>SUM(D114)</f>
        <v>286</v>
      </c>
      <c r="E113" s="89"/>
      <c r="F113" s="89">
        <f aca="true" t="shared" si="1" ref="F113:F159">SUM(D113,E113)</f>
        <v>286</v>
      </c>
    </row>
    <row r="114" spans="1:6" ht="13.5">
      <c r="A114" s="106" t="s">
        <v>385</v>
      </c>
      <c r="B114" s="114" t="s">
        <v>550</v>
      </c>
      <c r="C114" s="115"/>
      <c r="D114" s="89">
        <f>SUM(D115)</f>
        <v>286</v>
      </c>
      <c r="E114" s="89"/>
      <c r="F114" s="89">
        <f t="shared" si="1"/>
        <v>286</v>
      </c>
    </row>
    <row r="115" spans="1:6" ht="13.5" customHeight="1">
      <c r="A115" s="106"/>
      <c r="B115" s="113" t="s">
        <v>614</v>
      </c>
      <c r="C115" s="83" t="s">
        <v>540</v>
      </c>
      <c r="D115" s="91">
        <v>286</v>
      </c>
      <c r="E115" s="89"/>
      <c r="F115" s="91">
        <f t="shared" si="1"/>
        <v>286</v>
      </c>
    </row>
    <row r="116" spans="1:6" ht="22.5" customHeight="1">
      <c r="A116" s="106" t="s">
        <v>387</v>
      </c>
      <c r="B116" s="111" t="s">
        <v>612</v>
      </c>
      <c r="C116" s="112"/>
      <c r="D116" s="89">
        <f>SUM(D117,D119,D121)</f>
        <v>185000</v>
      </c>
      <c r="E116" s="89">
        <f>SUM(E117,E119,E121)</f>
        <v>81000</v>
      </c>
      <c r="F116" s="89">
        <f t="shared" si="1"/>
        <v>266000</v>
      </c>
    </row>
    <row r="117" spans="1:6" ht="13.5">
      <c r="A117" s="106" t="s">
        <v>388</v>
      </c>
      <c r="B117" s="114" t="s">
        <v>615</v>
      </c>
      <c r="C117" s="115"/>
      <c r="D117" s="89">
        <f>SUM(D118)</f>
        <v>9000</v>
      </c>
      <c r="E117" s="89">
        <f>SUM(E118)</f>
        <v>81000</v>
      </c>
      <c r="F117" s="89">
        <f t="shared" si="1"/>
        <v>90000</v>
      </c>
    </row>
    <row r="118" spans="1:6" ht="12.75">
      <c r="A118" s="106"/>
      <c r="B118" s="113" t="s">
        <v>616</v>
      </c>
      <c r="C118" s="83" t="s">
        <v>536</v>
      </c>
      <c r="D118" s="91">
        <v>9000</v>
      </c>
      <c r="E118" s="91">
        <v>81000</v>
      </c>
      <c r="F118" s="91">
        <f t="shared" si="1"/>
        <v>90000</v>
      </c>
    </row>
    <row r="119" spans="1:6" ht="13.5">
      <c r="A119" s="106" t="s">
        <v>391</v>
      </c>
      <c r="B119" s="114" t="s">
        <v>617</v>
      </c>
      <c r="C119" s="115"/>
      <c r="D119" s="89">
        <f>SUM(D120)</f>
        <v>100000</v>
      </c>
      <c r="E119" s="89"/>
      <c r="F119" s="89">
        <f t="shared" si="1"/>
        <v>100000</v>
      </c>
    </row>
    <row r="120" spans="1:6" ht="25.5">
      <c r="A120" s="106"/>
      <c r="B120" s="113" t="s">
        <v>618</v>
      </c>
      <c r="C120" s="83" t="s">
        <v>538</v>
      </c>
      <c r="D120" s="91">
        <v>100000</v>
      </c>
      <c r="E120" s="89"/>
      <c r="F120" s="91">
        <f t="shared" si="1"/>
        <v>100000</v>
      </c>
    </row>
    <row r="121" spans="1:6" ht="13.5">
      <c r="A121" s="106" t="s">
        <v>395</v>
      </c>
      <c r="B121" s="114" t="s">
        <v>619</v>
      </c>
      <c r="C121" s="115"/>
      <c r="D121" s="89">
        <f>SUM(D122:D123)</f>
        <v>76000</v>
      </c>
      <c r="E121" s="89"/>
      <c r="F121" s="89">
        <f t="shared" si="1"/>
        <v>76000</v>
      </c>
    </row>
    <row r="122" spans="1:6" ht="12.75">
      <c r="A122" s="106"/>
      <c r="B122" s="113" t="s">
        <v>620</v>
      </c>
      <c r="C122" s="83" t="s">
        <v>536</v>
      </c>
      <c r="D122" s="91">
        <v>51000</v>
      </c>
      <c r="E122" s="89"/>
      <c r="F122" s="91">
        <f t="shared" si="1"/>
        <v>51000</v>
      </c>
    </row>
    <row r="123" spans="1:6" ht="25.5">
      <c r="A123" s="106"/>
      <c r="B123" s="113" t="s">
        <v>621</v>
      </c>
      <c r="C123" s="83" t="s">
        <v>536</v>
      </c>
      <c r="D123" s="91">
        <v>25000</v>
      </c>
      <c r="E123" s="89"/>
      <c r="F123" s="91">
        <f t="shared" si="1"/>
        <v>25000</v>
      </c>
    </row>
    <row r="124" spans="1:6" ht="22.5" customHeight="1">
      <c r="A124" s="106" t="s">
        <v>397</v>
      </c>
      <c r="B124" s="114" t="s">
        <v>13</v>
      </c>
      <c r="C124" s="115"/>
      <c r="D124" s="89">
        <f>SUM(D125)</f>
        <v>100000</v>
      </c>
      <c r="E124" s="89"/>
      <c r="F124" s="89">
        <f t="shared" si="1"/>
        <v>100000</v>
      </c>
    </row>
    <row r="125" spans="1:6" ht="13.5">
      <c r="A125" s="106" t="s">
        <v>398</v>
      </c>
      <c r="B125" s="114" t="s">
        <v>622</v>
      </c>
      <c r="C125" s="83"/>
      <c r="D125" s="89">
        <f>SUM(D126:D127)</f>
        <v>100000</v>
      </c>
      <c r="E125" s="89"/>
      <c r="F125" s="89">
        <f t="shared" si="1"/>
        <v>100000</v>
      </c>
    </row>
    <row r="126" spans="1:6" ht="12.75">
      <c r="A126" s="106"/>
      <c r="B126" s="113" t="s">
        <v>623</v>
      </c>
      <c r="C126" s="118" t="s">
        <v>536</v>
      </c>
      <c r="D126" s="91">
        <v>50000</v>
      </c>
      <c r="E126" s="89"/>
      <c r="F126" s="91">
        <f t="shared" si="1"/>
        <v>50000</v>
      </c>
    </row>
    <row r="127" spans="1:6" ht="12.75">
      <c r="A127" s="106"/>
      <c r="B127" s="113" t="s">
        <v>624</v>
      </c>
      <c r="C127" s="117" t="s">
        <v>536</v>
      </c>
      <c r="D127" s="91">
        <v>50000</v>
      </c>
      <c r="E127" s="89"/>
      <c r="F127" s="91">
        <f t="shared" si="1"/>
        <v>50000</v>
      </c>
    </row>
    <row r="128" spans="1:6" ht="22.5" customHeight="1">
      <c r="A128" s="106" t="s">
        <v>401</v>
      </c>
      <c r="B128" s="104" t="s">
        <v>532</v>
      </c>
      <c r="C128" s="112"/>
      <c r="D128" s="89">
        <f>SUM(D129,D131,D133,D137,D135)</f>
        <v>562108</v>
      </c>
      <c r="E128" s="89"/>
      <c r="F128" s="89">
        <f t="shared" si="1"/>
        <v>562108</v>
      </c>
    </row>
    <row r="129" spans="1:6" ht="13.5">
      <c r="A129" s="106" t="s">
        <v>402</v>
      </c>
      <c r="B129" s="114" t="s">
        <v>625</v>
      </c>
      <c r="C129" s="115"/>
      <c r="D129" s="89">
        <f>SUM(D130)</f>
        <v>100000</v>
      </c>
      <c r="E129" s="89"/>
      <c r="F129" s="89">
        <f t="shared" si="1"/>
        <v>100000</v>
      </c>
    </row>
    <row r="130" spans="1:6" ht="25.5">
      <c r="A130" s="106"/>
      <c r="B130" s="113" t="s">
        <v>626</v>
      </c>
      <c r="C130" s="83" t="s">
        <v>536</v>
      </c>
      <c r="D130" s="91">
        <v>100000</v>
      </c>
      <c r="E130" s="91"/>
      <c r="F130" s="91">
        <f t="shared" si="1"/>
        <v>100000</v>
      </c>
    </row>
    <row r="131" spans="1:6" ht="13.5">
      <c r="A131" s="106" t="s">
        <v>403</v>
      </c>
      <c r="B131" s="114" t="s">
        <v>627</v>
      </c>
      <c r="C131" s="119"/>
      <c r="D131" s="89">
        <f>SUM(D132)</f>
        <v>127800</v>
      </c>
      <c r="E131" s="89"/>
      <c r="F131" s="89">
        <f t="shared" si="1"/>
        <v>127800</v>
      </c>
    </row>
    <row r="132" spans="1:6" ht="12.75">
      <c r="A132" s="106"/>
      <c r="B132" s="113" t="s">
        <v>628</v>
      </c>
      <c r="C132" s="83" t="s">
        <v>536</v>
      </c>
      <c r="D132" s="91">
        <v>127800</v>
      </c>
      <c r="E132" s="89"/>
      <c r="F132" s="91">
        <f t="shared" si="1"/>
        <v>127800</v>
      </c>
    </row>
    <row r="133" spans="1:6" ht="13.5">
      <c r="A133" s="106" t="s">
        <v>404</v>
      </c>
      <c r="B133" s="114" t="s">
        <v>629</v>
      </c>
      <c r="C133" s="119"/>
      <c r="D133" s="89">
        <f>SUM(D134)</f>
        <v>36746</v>
      </c>
      <c r="E133" s="89"/>
      <c r="F133" s="89">
        <f t="shared" si="1"/>
        <v>36746</v>
      </c>
    </row>
    <row r="134" spans="1:6" ht="12.75">
      <c r="A134" s="106"/>
      <c r="B134" s="113" t="s">
        <v>630</v>
      </c>
      <c r="C134" s="83" t="s">
        <v>536</v>
      </c>
      <c r="D134" s="91">
        <v>36746</v>
      </c>
      <c r="E134" s="91"/>
      <c r="F134" s="91">
        <f t="shared" si="1"/>
        <v>36746</v>
      </c>
    </row>
    <row r="135" spans="1:6" ht="13.5">
      <c r="A135" s="106" t="s">
        <v>407</v>
      </c>
      <c r="B135" s="108" t="s">
        <v>631</v>
      </c>
      <c r="C135" s="109"/>
      <c r="D135" s="89">
        <f>SUM(D136)</f>
        <v>158912</v>
      </c>
      <c r="E135" s="89"/>
      <c r="F135" s="89">
        <f t="shared" si="1"/>
        <v>158912</v>
      </c>
    </row>
    <row r="136" spans="1:6" ht="12.75">
      <c r="A136" s="106"/>
      <c r="B136" s="107" t="s">
        <v>632</v>
      </c>
      <c r="C136" s="83" t="s">
        <v>538</v>
      </c>
      <c r="D136" s="91">
        <v>158912</v>
      </c>
      <c r="E136" s="89"/>
      <c r="F136" s="91">
        <f t="shared" si="1"/>
        <v>158912</v>
      </c>
    </row>
    <row r="137" spans="1:6" ht="13.5">
      <c r="A137" s="106" t="s">
        <v>408</v>
      </c>
      <c r="B137" s="108" t="s">
        <v>633</v>
      </c>
      <c r="C137" s="109"/>
      <c r="D137" s="89">
        <f>SUM(D138)</f>
        <v>138650</v>
      </c>
      <c r="E137" s="89"/>
      <c r="F137" s="89">
        <f t="shared" si="1"/>
        <v>138650</v>
      </c>
    </row>
    <row r="138" spans="1:6" ht="25.5">
      <c r="A138" s="106"/>
      <c r="B138" s="107" t="s">
        <v>634</v>
      </c>
      <c r="C138" s="83" t="s">
        <v>538</v>
      </c>
      <c r="D138" s="91">
        <v>138650</v>
      </c>
      <c r="E138" s="91"/>
      <c r="F138" s="91">
        <f t="shared" si="1"/>
        <v>138650</v>
      </c>
    </row>
    <row r="139" spans="1:6" ht="22.5" customHeight="1">
      <c r="A139" s="106" t="s">
        <v>409</v>
      </c>
      <c r="B139" s="104" t="s">
        <v>16</v>
      </c>
      <c r="C139" s="88"/>
      <c r="D139" s="120">
        <f>SUM(D140,D143,D148,D150,D152,D146)</f>
        <v>2777337</v>
      </c>
      <c r="E139" s="120">
        <f>SUM(E140,E143,E148,E150,E152,E146)</f>
        <v>4674000</v>
      </c>
      <c r="F139" s="89">
        <f t="shared" si="1"/>
        <v>7451337</v>
      </c>
    </row>
    <row r="140" spans="1:6" ht="13.5">
      <c r="A140" s="106" t="s">
        <v>410</v>
      </c>
      <c r="B140" s="108" t="s">
        <v>552</v>
      </c>
      <c r="C140" s="109"/>
      <c r="D140" s="89">
        <f>SUM(D141:D142)</f>
        <v>1003164</v>
      </c>
      <c r="E140" s="89"/>
      <c r="F140" s="89">
        <f t="shared" si="1"/>
        <v>1003164</v>
      </c>
    </row>
    <row r="141" spans="1:6" ht="12.75">
      <c r="A141" s="106"/>
      <c r="B141" s="107" t="s">
        <v>635</v>
      </c>
      <c r="C141" s="83" t="s">
        <v>536</v>
      </c>
      <c r="D141" s="91">
        <v>906164</v>
      </c>
      <c r="E141" s="91"/>
      <c r="F141" s="121">
        <f t="shared" si="1"/>
        <v>906164</v>
      </c>
    </row>
    <row r="142" spans="1:6" ht="12.75">
      <c r="A142" s="106"/>
      <c r="B142" s="107" t="s">
        <v>636</v>
      </c>
      <c r="C142" s="83" t="s">
        <v>536</v>
      </c>
      <c r="D142" s="91">
        <v>97000</v>
      </c>
      <c r="E142" s="91"/>
      <c r="F142" s="121">
        <f t="shared" si="1"/>
        <v>97000</v>
      </c>
    </row>
    <row r="143" spans="1:6" ht="13.5">
      <c r="A143" s="106" t="s">
        <v>412</v>
      </c>
      <c r="B143" s="108" t="s">
        <v>637</v>
      </c>
      <c r="C143" s="83"/>
      <c r="D143" s="120">
        <f>SUM(D144:D145)</f>
        <v>203000</v>
      </c>
      <c r="E143" s="120"/>
      <c r="F143" s="122">
        <f>SUM(D143:E143)</f>
        <v>203000</v>
      </c>
    </row>
    <row r="144" spans="1:6" ht="12.75">
      <c r="A144" s="106"/>
      <c r="B144" s="107" t="s">
        <v>638</v>
      </c>
      <c r="C144" s="83" t="s">
        <v>536</v>
      </c>
      <c r="D144" s="91">
        <v>40000</v>
      </c>
      <c r="E144" s="91"/>
      <c r="F144" s="121">
        <f>SUM(D144:E144)</f>
        <v>40000</v>
      </c>
    </row>
    <row r="145" spans="1:6" ht="12.75">
      <c r="A145" s="106"/>
      <c r="B145" s="107" t="s">
        <v>639</v>
      </c>
      <c r="C145" s="83" t="s">
        <v>536</v>
      </c>
      <c r="D145" s="91">
        <v>163000</v>
      </c>
      <c r="E145" s="91"/>
      <c r="F145" s="121">
        <f>SUM(D145:E145)</f>
        <v>163000</v>
      </c>
    </row>
    <row r="146" spans="1:6" ht="13.5">
      <c r="A146" s="106" t="s">
        <v>413</v>
      </c>
      <c r="B146" s="123" t="s">
        <v>640</v>
      </c>
      <c r="C146" s="124"/>
      <c r="D146" s="122">
        <f>SUM(D147:D147)</f>
        <v>48740</v>
      </c>
      <c r="E146" s="125"/>
      <c r="F146" s="122">
        <f>SUM(D146:E146)</f>
        <v>48740</v>
      </c>
    </row>
    <row r="147" spans="1:6" ht="12.75">
      <c r="A147" s="106"/>
      <c r="B147" s="107" t="s">
        <v>641</v>
      </c>
      <c r="C147" s="83" t="s">
        <v>536</v>
      </c>
      <c r="D147" s="121">
        <v>48740</v>
      </c>
      <c r="E147" s="126"/>
      <c r="F147" s="121">
        <f>SUM(D147:E147)</f>
        <v>48740</v>
      </c>
    </row>
    <row r="148" spans="1:6" ht="13.5">
      <c r="A148" s="106" t="s">
        <v>414</v>
      </c>
      <c r="B148" s="108" t="s">
        <v>642</v>
      </c>
      <c r="C148" s="109"/>
      <c r="D148" s="89">
        <f>SUM(D149)</f>
        <v>65000</v>
      </c>
      <c r="E148" s="91"/>
      <c r="F148" s="89">
        <f t="shared" si="1"/>
        <v>65000</v>
      </c>
    </row>
    <row r="149" spans="1:6" ht="12.75">
      <c r="A149" s="106"/>
      <c r="B149" s="107" t="s">
        <v>643</v>
      </c>
      <c r="C149" s="83" t="s">
        <v>536</v>
      </c>
      <c r="D149" s="91">
        <v>65000</v>
      </c>
      <c r="E149" s="91"/>
      <c r="F149" s="91">
        <f t="shared" si="1"/>
        <v>65000</v>
      </c>
    </row>
    <row r="150" spans="1:6" ht="13.5">
      <c r="A150" s="106" t="s">
        <v>416</v>
      </c>
      <c r="B150" s="108" t="s">
        <v>554</v>
      </c>
      <c r="C150" s="109"/>
      <c r="D150" s="89">
        <f>SUM(D151)</f>
        <v>300000</v>
      </c>
      <c r="E150" s="91"/>
      <c r="F150" s="89">
        <f t="shared" si="1"/>
        <v>300000</v>
      </c>
    </row>
    <row r="151" spans="1:6" ht="12.75">
      <c r="A151" s="106"/>
      <c r="B151" s="107" t="s">
        <v>644</v>
      </c>
      <c r="C151" s="83" t="s">
        <v>536</v>
      </c>
      <c r="D151" s="121">
        <f>400000-100000</f>
        <v>300000</v>
      </c>
      <c r="E151" s="91"/>
      <c r="F151" s="91">
        <f t="shared" si="1"/>
        <v>300000</v>
      </c>
    </row>
    <row r="152" spans="1:6" ht="13.5">
      <c r="A152" s="106" t="s">
        <v>417</v>
      </c>
      <c r="B152" s="108" t="s">
        <v>645</v>
      </c>
      <c r="C152" s="109"/>
      <c r="D152" s="89">
        <f>SUM(D153,D154,D155)</f>
        <v>1157433</v>
      </c>
      <c r="E152" s="89">
        <f>SUM(E153,E154,E155)</f>
        <v>4674000</v>
      </c>
      <c r="F152" s="89">
        <f t="shared" si="1"/>
        <v>5831433</v>
      </c>
    </row>
    <row r="153" spans="1:6" ht="12.75">
      <c r="A153" s="106"/>
      <c r="B153" s="107" t="s">
        <v>646</v>
      </c>
      <c r="C153" s="83" t="s">
        <v>536</v>
      </c>
      <c r="D153" s="91">
        <v>60000</v>
      </c>
      <c r="E153" s="91"/>
      <c r="F153" s="91">
        <f t="shared" si="1"/>
        <v>60000</v>
      </c>
    </row>
    <row r="154" spans="1:6" ht="12.75">
      <c r="A154" s="106"/>
      <c r="B154" s="107" t="s">
        <v>647</v>
      </c>
      <c r="C154" s="83" t="s">
        <v>536</v>
      </c>
      <c r="D154" s="91">
        <f>200000+15000</f>
        <v>215000</v>
      </c>
      <c r="E154" s="91"/>
      <c r="F154" s="91">
        <f t="shared" si="1"/>
        <v>215000</v>
      </c>
    </row>
    <row r="155" spans="1:6" ht="25.5">
      <c r="A155" s="106"/>
      <c r="B155" s="107" t="s">
        <v>648</v>
      </c>
      <c r="C155" s="83" t="s">
        <v>536</v>
      </c>
      <c r="D155" s="91">
        <f>1182433-300000</f>
        <v>882433</v>
      </c>
      <c r="E155" s="91">
        <v>4674000</v>
      </c>
      <c r="F155" s="91">
        <f t="shared" si="1"/>
        <v>5556433</v>
      </c>
    </row>
    <row r="156" spans="1:6" ht="22.5" customHeight="1">
      <c r="A156" s="106" t="s">
        <v>420</v>
      </c>
      <c r="B156" s="104" t="s">
        <v>17</v>
      </c>
      <c r="C156" s="87"/>
      <c r="D156" s="89">
        <f>SUM(D157,D159)</f>
        <v>4182</v>
      </c>
      <c r="E156" s="89"/>
      <c r="F156" s="89">
        <f t="shared" si="1"/>
        <v>4182</v>
      </c>
    </row>
    <row r="157" spans="1:6" ht="13.5">
      <c r="A157" s="106" t="s">
        <v>421</v>
      </c>
      <c r="B157" s="108" t="s">
        <v>649</v>
      </c>
      <c r="C157" s="110"/>
      <c r="D157" s="89">
        <f>SUM(D158)</f>
        <v>1682</v>
      </c>
      <c r="E157" s="89"/>
      <c r="F157" s="89">
        <f t="shared" si="1"/>
        <v>1682</v>
      </c>
    </row>
    <row r="158" spans="1:6" ht="25.5">
      <c r="A158" s="106"/>
      <c r="B158" s="107" t="s">
        <v>650</v>
      </c>
      <c r="C158" s="82" t="s">
        <v>538</v>
      </c>
      <c r="D158" s="91">
        <v>1682</v>
      </c>
      <c r="E158" s="89"/>
      <c r="F158" s="91">
        <f t="shared" si="1"/>
        <v>1682</v>
      </c>
    </row>
    <row r="159" spans="1:6" ht="13.5">
      <c r="A159" s="106" t="s">
        <v>423</v>
      </c>
      <c r="B159" s="108" t="s">
        <v>651</v>
      </c>
      <c r="C159" s="82"/>
      <c r="D159" s="89">
        <f>SUM(D160)</f>
        <v>2500</v>
      </c>
      <c r="E159" s="89">
        <f>SUM(E160)</f>
        <v>0</v>
      </c>
      <c r="F159" s="89">
        <f t="shared" si="1"/>
        <v>2500</v>
      </c>
    </row>
    <row r="160" spans="1:6" ht="12.75">
      <c r="A160" s="106"/>
      <c r="B160" s="107" t="s">
        <v>652</v>
      </c>
      <c r="C160" s="82" t="s">
        <v>536</v>
      </c>
      <c r="D160" s="91">
        <v>2500</v>
      </c>
      <c r="E160" s="89"/>
      <c r="F160" s="91">
        <f>SUM(D160:E160)</f>
        <v>2500</v>
      </c>
    </row>
    <row r="161" spans="1:6" ht="12.75">
      <c r="A161" s="106"/>
      <c r="B161" s="104" t="s">
        <v>426</v>
      </c>
      <c r="C161" s="87"/>
      <c r="D161" s="89">
        <f>SUM(D162,D165,D169)</f>
        <v>1280512</v>
      </c>
      <c r="E161" s="89"/>
      <c r="F161" s="89">
        <f>SUM(F162,F165,F169)</f>
        <v>1280512</v>
      </c>
    </row>
    <row r="162" spans="1:6" ht="22.5" customHeight="1">
      <c r="A162" s="103" t="s">
        <v>427</v>
      </c>
      <c r="B162" s="104" t="s">
        <v>8</v>
      </c>
      <c r="C162" s="88"/>
      <c r="D162" s="89">
        <f>SUM(D163)</f>
        <v>1127383</v>
      </c>
      <c r="E162" s="91"/>
      <c r="F162" s="89">
        <f>SUM(D162,E162)</f>
        <v>1127383</v>
      </c>
    </row>
    <row r="163" spans="1:6" ht="13.5">
      <c r="A163" s="103" t="s">
        <v>653</v>
      </c>
      <c r="B163" s="108" t="s">
        <v>654</v>
      </c>
      <c r="C163" s="110"/>
      <c r="D163" s="91">
        <f>SUM(D164)</f>
        <v>1127383</v>
      </c>
      <c r="E163" s="91"/>
      <c r="F163" s="89">
        <f>SUM(D163,E163)</f>
        <v>1127383</v>
      </c>
    </row>
    <row r="164" spans="1:6" ht="12.75">
      <c r="A164" s="103"/>
      <c r="B164" s="107" t="s">
        <v>655</v>
      </c>
      <c r="C164" s="83" t="s">
        <v>540</v>
      </c>
      <c r="D164" s="91">
        <f>1361566-234183</f>
        <v>1127383</v>
      </c>
      <c r="E164" s="91"/>
      <c r="F164" s="91">
        <f>SUM(D164,E164)</f>
        <v>1127383</v>
      </c>
    </row>
    <row r="165" spans="1:6" ht="22.5" customHeight="1">
      <c r="A165" s="103" t="s">
        <v>442</v>
      </c>
      <c r="B165" s="104" t="s">
        <v>532</v>
      </c>
      <c r="C165" s="87"/>
      <c r="D165" s="89">
        <f>SUM(D166)</f>
        <v>111912</v>
      </c>
      <c r="E165" s="89"/>
      <c r="F165" s="89">
        <f>SUM(F166)</f>
        <v>111912</v>
      </c>
    </row>
    <row r="166" spans="1:6" ht="13.5">
      <c r="A166" s="103" t="s">
        <v>443</v>
      </c>
      <c r="B166" s="108" t="s">
        <v>625</v>
      </c>
      <c r="C166" s="109"/>
      <c r="D166" s="89">
        <f>SUM(D167,D168)</f>
        <v>111912</v>
      </c>
      <c r="E166" s="89"/>
      <c r="F166" s="89">
        <f aca="true" t="shared" si="2" ref="F166:F172">SUM(D166,E166)</f>
        <v>111912</v>
      </c>
    </row>
    <row r="167" spans="1:6" ht="25.5">
      <c r="A167" s="103"/>
      <c r="B167" s="107" t="s">
        <v>656</v>
      </c>
      <c r="C167" s="83" t="s">
        <v>538</v>
      </c>
      <c r="D167" s="91">
        <v>48000</v>
      </c>
      <c r="E167" s="89"/>
      <c r="F167" s="91">
        <f t="shared" si="2"/>
        <v>48000</v>
      </c>
    </row>
    <row r="168" spans="1:6" ht="25.5">
      <c r="A168" s="106"/>
      <c r="B168" s="107" t="s">
        <v>657</v>
      </c>
      <c r="C168" s="83" t="s">
        <v>538</v>
      </c>
      <c r="D168" s="91">
        <v>63912</v>
      </c>
      <c r="E168" s="89"/>
      <c r="F168" s="91">
        <f t="shared" si="2"/>
        <v>63912</v>
      </c>
    </row>
    <row r="169" spans="1:6" ht="22.5" customHeight="1">
      <c r="A169" s="106" t="s">
        <v>457</v>
      </c>
      <c r="B169" s="104" t="s">
        <v>16</v>
      </c>
      <c r="C169" s="88"/>
      <c r="D169" s="89">
        <f>SUM(D170)</f>
        <v>41217</v>
      </c>
      <c r="E169" s="89"/>
      <c r="F169" s="89">
        <f t="shared" si="2"/>
        <v>41217</v>
      </c>
    </row>
    <row r="170" spans="1:6" ht="13.5">
      <c r="A170" s="106" t="s">
        <v>460</v>
      </c>
      <c r="B170" s="108" t="s">
        <v>658</v>
      </c>
      <c r="C170" s="109"/>
      <c r="D170" s="89">
        <f>SUM(D171,D172)</f>
        <v>41217</v>
      </c>
      <c r="E170" s="89"/>
      <c r="F170" s="89">
        <f t="shared" si="2"/>
        <v>41217</v>
      </c>
    </row>
    <row r="171" spans="1:6" ht="25.5">
      <c r="A171" s="106"/>
      <c r="B171" s="107" t="s">
        <v>659</v>
      </c>
      <c r="C171" s="83" t="s">
        <v>538</v>
      </c>
      <c r="D171" s="91">
        <v>36749</v>
      </c>
      <c r="E171" s="89"/>
      <c r="F171" s="91">
        <f t="shared" si="2"/>
        <v>36749</v>
      </c>
    </row>
    <row r="172" spans="1:6" ht="25.5">
      <c r="A172" s="106"/>
      <c r="B172" s="107" t="s">
        <v>660</v>
      </c>
      <c r="C172" s="83" t="s">
        <v>538</v>
      </c>
      <c r="D172" s="91">
        <v>4468</v>
      </c>
      <c r="E172" s="89"/>
      <c r="F172" s="91">
        <f t="shared" si="2"/>
        <v>4468</v>
      </c>
    </row>
    <row r="173" spans="1:6" s="130" customFormat="1" ht="12.75">
      <c r="A173" s="106"/>
      <c r="B173" s="127"/>
      <c r="C173" s="127"/>
      <c r="D173" s="128"/>
      <c r="E173" s="129"/>
      <c r="F173" s="128"/>
    </row>
    <row r="174" spans="1:6" ht="12.75" customHeight="1">
      <c r="A174" s="103"/>
      <c r="B174" s="98" t="s">
        <v>661</v>
      </c>
      <c r="C174" s="98"/>
      <c r="D174" s="98"/>
      <c r="E174" s="98"/>
      <c r="F174" s="98"/>
    </row>
    <row r="175" spans="1:6" ht="12.75">
      <c r="A175" s="103"/>
      <c r="B175" s="98"/>
      <c r="C175" s="98"/>
      <c r="D175" s="131"/>
      <c r="E175" s="131"/>
      <c r="F175" s="96"/>
    </row>
    <row r="176" spans="1:6" ht="12.75" customHeight="1">
      <c r="A176" s="103"/>
      <c r="B176" s="107"/>
      <c r="C176" s="83"/>
      <c r="D176" s="84" t="s">
        <v>525</v>
      </c>
      <c r="E176" s="84"/>
      <c r="F176" s="85" t="s">
        <v>526</v>
      </c>
    </row>
    <row r="177" spans="1:6" ht="19.5" customHeight="1">
      <c r="A177" s="100"/>
      <c r="B177" s="107"/>
      <c r="C177" s="83"/>
      <c r="D177" s="84" t="s">
        <v>527</v>
      </c>
      <c r="E177" s="85" t="s">
        <v>528</v>
      </c>
      <c r="F177" s="85"/>
    </row>
    <row r="178" spans="1:6" ht="19.5" customHeight="1">
      <c r="A178" s="100"/>
      <c r="B178" s="104" t="s">
        <v>237</v>
      </c>
      <c r="C178" s="88"/>
      <c r="D178" s="105">
        <f>SUM(D179)</f>
        <v>234183</v>
      </c>
      <c r="E178" s="132"/>
      <c r="F178" s="105">
        <f>SUM(D178:E178)</f>
        <v>234183</v>
      </c>
    </row>
    <row r="179" spans="1:6" ht="25.5">
      <c r="A179" s="103" t="s">
        <v>240</v>
      </c>
      <c r="B179" s="107" t="s">
        <v>662</v>
      </c>
      <c r="C179" s="83"/>
      <c r="D179" s="91">
        <f>281020-46837</f>
        <v>234183</v>
      </c>
      <c r="E179" s="89"/>
      <c r="F179" s="91">
        <f aca="true" t="shared" si="3" ref="F179:F185">SUM(D179,E179)</f>
        <v>234183</v>
      </c>
    </row>
    <row r="180" spans="1:6" ht="12.75">
      <c r="A180" s="103"/>
      <c r="B180" s="104" t="s">
        <v>265</v>
      </c>
      <c r="C180" s="88"/>
      <c r="D180" s="89">
        <f>SUM(D181)</f>
        <v>5856</v>
      </c>
      <c r="E180" s="89"/>
      <c r="F180" s="89">
        <f t="shared" si="3"/>
        <v>5856</v>
      </c>
    </row>
    <row r="181" spans="1:6" ht="25.5">
      <c r="A181" s="103" t="s">
        <v>268</v>
      </c>
      <c r="B181" s="107" t="s">
        <v>663</v>
      </c>
      <c r="C181" s="83"/>
      <c r="D181" s="91">
        <v>5856</v>
      </c>
      <c r="E181" s="89"/>
      <c r="F181" s="91">
        <f t="shared" si="3"/>
        <v>5856</v>
      </c>
    </row>
    <row r="182" spans="1:6" ht="12.75">
      <c r="A182" s="103"/>
      <c r="B182" s="104" t="s">
        <v>382</v>
      </c>
      <c r="C182" s="88"/>
      <c r="D182" s="89">
        <f>SUM(D183)</f>
        <v>3255</v>
      </c>
      <c r="E182" s="89"/>
      <c r="F182" s="89">
        <f t="shared" si="3"/>
        <v>3255</v>
      </c>
    </row>
    <row r="183" spans="1:6" ht="12.75">
      <c r="A183" s="106" t="s">
        <v>385</v>
      </c>
      <c r="B183" s="107" t="s">
        <v>664</v>
      </c>
      <c r="C183" s="83"/>
      <c r="D183" s="91">
        <v>3255</v>
      </c>
      <c r="E183" s="89"/>
      <c r="F183" s="91">
        <f t="shared" si="3"/>
        <v>3255</v>
      </c>
    </row>
    <row r="184" spans="1:6" ht="12.75">
      <c r="A184" s="103"/>
      <c r="B184" s="104" t="s">
        <v>426</v>
      </c>
      <c r="C184" s="88"/>
      <c r="D184" s="89">
        <f>SUM(D185)</f>
        <v>5742177</v>
      </c>
      <c r="E184" s="89">
        <f>SUM(E185)</f>
        <v>127823</v>
      </c>
      <c r="F184" s="89">
        <f t="shared" si="3"/>
        <v>5870000</v>
      </c>
    </row>
    <row r="185" spans="1:6" ht="12.75">
      <c r="A185" s="106" t="s">
        <v>432</v>
      </c>
      <c r="B185" s="107" t="s">
        <v>665</v>
      </c>
      <c r="C185" s="88"/>
      <c r="D185" s="89">
        <f>5870000-127823</f>
        <v>5742177</v>
      </c>
      <c r="E185" s="89">
        <v>127823</v>
      </c>
      <c r="F185" s="89">
        <f t="shared" si="3"/>
        <v>5870000</v>
      </c>
    </row>
    <row r="186" spans="1:6" ht="12.75">
      <c r="A186" s="106"/>
      <c r="B186" s="104" t="s">
        <v>543</v>
      </c>
      <c r="C186" s="88"/>
      <c r="D186" s="89">
        <f>SUM(D178,D180,D182,D184)</f>
        <v>5985471</v>
      </c>
      <c r="E186" s="89">
        <f>SUM(E178,E180,E182,E184)</f>
        <v>127823</v>
      </c>
      <c r="F186" s="89">
        <f>SUM(D186,E186)</f>
        <v>6113294</v>
      </c>
    </row>
    <row r="187" spans="1:6" ht="12.75">
      <c r="A187" s="133"/>
      <c r="F187" s="134"/>
    </row>
  </sheetData>
  <sheetProtection selectLockedCells="1" selectUnlockedCells="1"/>
  <mergeCells count="12">
    <mergeCell ref="B1:F1"/>
    <mergeCell ref="D3:E3"/>
    <mergeCell ref="F3:F4"/>
    <mergeCell ref="B22:F22"/>
    <mergeCell ref="A24:A25"/>
    <mergeCell ref="B24:B25"/>
    <mergeCell ref="C24:C25"/>
    <mergeCell ref="D24:E24"/>
    <mergeCell ref="F24:F25"/>
    <mergeCell ref="B174:F174"/>
    <mergeCell ref="D176:E176"/>
    <mergeCell ref="F176:F177"/>
  </mergeCells>
  <printOptions/>
  <pageMargins left="0.7479166666666667" right="0.7479166666666667" top="0.9840277777777777" bottom="0.5673611111111111" header="0.5" footer="0.5118055555555555"/>
  <pageSetup horizontalDpi="300" verticalDpi="300" orientation="portrait" paperSize="9"/>
  <headerFooter alignWithMargins="0">
    <oddHeader>&amp;RLisa 5
Tartu linnavolikogu 22.12.2011
määruse nr 53 juurde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F4" sqref="F4"/>
    </sheetView>
  </sheetViews>
  <sheetFormatPr defaultColWidth="9.140625" defaultRowHeight="12.75"/>
  <cols>
    <col min="1" max="1" width="28.28125" style="135" customWidth="1"/>
    <col min="2" max="5" width="10.00390625" style="136" customWidth="1"/>
    <col min="6" max="6" width="9.57421875" style="136" customWidth="1"/>
    <col min="7" max="7" width="9.140625" style="135" customWidth="1"/>
    <col min="8" max="10" width="9.57421875" style="135" customWidth="1"/>
    <col min="11" max="16384" width="9.140625" style="135" customWidth="1"/>
  </cols>
  <sheetData>
    <row r="1" spans="1:6" ht="7.5" customHeight="1">
      <c r="A1" s="137" t="s">
        <v>666</v>
      </c>
      <c r="B1" s="137"/>
      <c r="C1" s="137"/>
      <c r="D1" s="137"/>
      <c r="E1" s="137"/>
      <c r="F1" s="137"/>
    </row>
    <row r="2" spans="1:6" ht="6.75" customHeight="1">
      <c r="A2" s="137"/>
      <c r="B2" s="137"/>
      <c r="C2" s="137"/>
      <c r="D2" s="137"/>
      <c r="E2" s="137"/>
      <c r="F2" s="137"/>
    </row>
    <row r="3" spans="1:6" ht="12" customHeight="1">
      <c r="A3" s="138"/>
      <c r="B3" s="138"/>
      <c r="C3" s="138"/>
      <c r="D3" s="138"/>
      <c r="E3" s="138"/>
      <c r="F3" s="139" t="s">
        <v>1</v>
      </c>
    </row>
    <row r="4" spans="1:6" s="143" customFormat="1" ht="36.75" customHeight="1">
      <c r="A4" s="140" t="s">
        <v>667</v>
      </c>
      <c r="B4" s="141">
        <v>2010</v>
      </c>
      <c r="C4" s="141">
        <v>2011</v>
      </c>
      <c r="D4" s="141">
        <v>2012</v>
      </c>
      <c r="E4" s="141">
        <v>2013</v>
      </c>
      <c r="F4" s="142" t="s">
        <v>668</v>
      </c>
    </row>
    <row r="5" spans="1:6" ht="12.75">
      <c r="A5" s="144" t="s">
        <v>669</v>
      </c>
      <c r="B5" s="145">
        <f>SUM(B6:B8)</f>
        <v>288692</v>
      </c>
      <c r="C5" s="145">
        <f>SUM(C6:C8)</f>
        <v>6865517</v>
      </c>
      <c r="D5" s="145">
        <f>SUM(D6:D8)</f>
        <v>0</v>
      </c>
      <c r="E5" s="145">
        <f>SUM(E6:E8)</f>
        <v>0</v>
      </c>
      <c r="F5" s="145">
        <f>SUM(F6:F8)</f>
        <v>7154209</v>
      </c>
    </row>
    <row r="6" spans="1:6" ht="12.75">
      <c r="A6" s="146" t="s">
        <v>670</v>
      </c>
      <c r="B6" s="147">
        <v>0</v>
      </c>
      <c r="C6" s="147">
        <v>6582900</v>
      </c>
      <c r="D6" s="147">
        <v>0</v>
      </c>
      <c r="E6" s="147">
        <v>0</v>
      </c>
      <c r="F6" s="147">
        <f>SUM(B6:E6)</f>
        <v>6582900</v>
      </c>
    </row>
    <row r="7" spans="1:7" ht="12.75">
      <c r="A7" s="146" t="s">
        <v>671</v>
      </c>
      <c r="B7" s="147">
        <v>288692</v>
      </c>
      <c r="C7" s="147">
        <v>282617</v>
      </c>
      <c r="D7" s="147">
        <v>0</v>
      </c>
      <c r="E7" s="147">
        <v>0</v>
      </c>
      <c r="F7" s="147">
        <f>SUM(B7:E7)</f>
        <v>571309</v>
      </c>
      <c r="G7" s="148"/>
    </row>
    <row r="8" spans="1:6" ht="12.75">
      <c r="A8" s="149" t="s">
        <v>672</v>
      </c>
      <c r="B8" s="150">
        <v>0</v>
      </c>
      <c r="C8" s="147">
        <v>0</v>
      </c>
      <c r="D8" s="147">
        <v>0</v>
      </c>
      <c r="E8" s="147">
        <v>0</v>
      </c>
      <c r="F8" s="150">
        <f>SUM(B8:E8)</f>
        <v>0</v>
      </c>
    </row>
    <row r="9" spans="1:6" ht="12.75">
      <c r="A9" s="151" t="s">
        <v>673</v>
      </c>
      <c r="B9" s="145">
        <f>SUM(B10:B12)</f>
        <v>892424</v>
      </c>
      <c r="C9" s="145">
        <f>SUM(C10:C12)</f>
        <v>900278</v>
      </c>
      <c r="D9" s="145">
        <f>SUM(D10:D12)</f>
        <v>915536</v>
      </c>
      <c r="E9" s="145">
        <f>SUM(E10:E12)</f>
        <v>897912</v>
      </c>
      <c r="F9" s="152">
        <f>SUM(F10:F12)</f>
        <v>3606150</v>
      </c>
    </row>
    <row r="10" spans="1:6" ht="12.75">
      <c r="A10" s="153" t="s">
        <v>670</v>
      </c>
      <c r="B10" s="147">
        <f>827419+825</f>
        <v>828244</v>
      </c>
      <c r="C10" s="147">
        <v>827419</v>
      </c>
      <c r="D10" s="147">
        <v>827419</v>
      </c>
      <c r="E10" s="147">
        <v>827419</v>
      </c>
      <c r="F10" s="147">
        <f>SUM(B10:E10)</f>
        <v>3310501</v>
      </c>
    </row>
    <row r="11" spans="1:7" ht="12.75">
      <c r="A11" s="153" t="s">
        <v>671</v>
      </c>
      <c r="B11" s="147">
        <v>64180</v>
      </c>
      <c r="C11" s="147">
        <v>72859</v>
      </c>
      <c r="D11" s="147">
        <v>88117</v>
      </c>
      <c r="E11" s="147">
        <v>70493</v>
      </c>
      <c r="F11" s="147">
        <f>SUM(B11:E11)</f>
        <v>295649</v>
      </c>
      <c r="G11" s="148"/>
    </row>
    <row r="12" spans="1:6" ht="12" customHeight="1">
      <c r="A12" s="154" t="s">
        <v>672</v>
      </c>
      <c r="B12" s="147">
        <v>0</v>
      </c>
      <c r="C12" s="147">
        <v>0</v>
      </c>
      <c r="D12" s="147">
        <v>0</v>
      </c>
      <c r="E12" s="147">
        <v>0</v>
      </c>
      <c r="F12" s="150">
        <f>SUM(B12:E12)</f>
        <v>0</v>
      </c>
    </row>
    <row r="13" spans="1:10" ht="12.75">
      <c r="A13" s="151" t="s">
        <v>674</v>
      </c>
      <c r="B13" s="145">
        <f>SUM(B14:B16)</f>
        <v>801465</v>
      </c>
      <c r="C13" s="145">
        <f>SUM(C14:C16)</f>
        <v>822726</v>
      </c>
      <c r="D13" s="145">
        <f>SUM(D14:D16)</f>
        <v>807723</v>
      </c>
      <c r="E13" s="145">
        <f>SUM(E14:E16)</f>
        <v>791896</v>
      </c>
      <c r="F13" s="152">
        <f>SUM(F14:F16)</f>
        <v>3223810</v>
      </c>
      <c r="J13" s="136"/>
    </row>
    <row r="14" spans="1:10" ht="12.75">
      <c r="A14" s="153" t="s">
        <v>670</v>
      </c>
      <c r="B14" s="147">
        <f>776070+774</f>
        <v>776844</v>
      </c>
      <c r="C14" s="147">
        <v>776070</v>
      </c>
      <c r="D14" s="147">
        <v>776070</v>
      </c>
      <c r="E14" s="147">
        <v>776070</v>
      </c>
      <c r="F14" s="147">
        <f>SUM(B14:E14)</f>
        <v>3105054</v>
      </c>
      <c r="J14" s="136"/>
    </row>
    <row r="15" spans="1:7" ht="12.75">
      <c r="A15" s="153" t="s">
        <v>671</v>
      </c>
      <c r="B15" s="147">
        <v>24621</v>
      </c>
      <c r="C15" s="147">
        <v>46656</v>
      </c>
      <c r="D15" s="147">
        <v>31653</v>
      </c>
      <c r="E15" s="147">
        <v>15826</v>
      </c>
      <c r="F15" s="147">
        <f>SUM(B15:E15)</f>
        <v>118756</v>
      </c>
      <c r="G15" s="148"/>
    </row>
    <row r="16" spans="1:6" ht="12.75">
      <c r="A16" s="154" t="s">
        <v>675</v>
      </c>
      <c r="B16" s="147">
        <v>0</v>
      </c>
      <c r="C16" s="147">
        <v>0</v>
      </c>
      <c r="D16" s="147">
        <v>0</v>
      </c>
      <c r="E16" s="147">
        <v>0</v>
      </c>
      <c r="F16" s="150">
        <f>SUM(B16:E16)</f>
        <v>0</v>
      </c>
    </row>
    <row r="17" spans="1:6" ht="12.75">
      <c r="A17" s="151" t="s">
        <v>676</v>
      </c>
      <c r="B17" s="145">
        <f>SUM(B18:B20)</f>
        <v>1039358</v>
      </c>
      <c r="C17" s="145">
        <f>SUM(C18:C20)</f>
        <v>1051730</v>
      </c>
      <c r="D17" s="145">
        <f>SUM(D18:D20)</f>
        <v>1069969</v>
      </c>
      <c r="E17" s="145">
        <f>SUM(E18:E20)</f>
        <v>1051420</v>
      </c>
      <c r="F17" s="152">
        <f>SUM(F18:F20)</f>
        <v>4212477</v>
      </c>
    </row>
    <row r="18" spans="1:6" ht="12.75">
      <c r="A18" s="153" t="s">
        <v>670</v>
      </c>
      <c r="B18" s="147">
        <f>958675+392</f>
        <v>959067</v>
      </c>
      <c r="C18" s="147">
        <v>958675</v>
      </c>
      <c r="D18" s="147">
        <v>958675</v>
      </c>
      <c r="E18" s="147">
        <v>958675</v>
      </c>
      <c r="F18" s="147">
        <f>SUM(B18:E18)</f>
        <v>3835092</v>
      </c>
    </row>
    <row r="19" spans="1:7" ht="12.75">
      <c r="A19" s="153" t="s">
        <v>671</v>
      </c>
      <c r="B19" s="147">
        <v>80291</v>
      </c>
      <c r="C19" s="147">
        <v>93055</v>
      </c>
      <c r="D19" s="147">
        <v>111294</v>
      </c>
      <c r="E19" s="147">
        <v>92745</v>
      </c>
      <c r="F19" s="147">
        <f>SUM(B19:E19)</f>
        <v>377385</v>
      </c>
      <c r="G19" s="148"/>
    </row>
    <row r="20" spans="1:6" ht="12.75">
      <c r="A20" s="154" t="s">
        <v>675</v>
      </c>
      <c r="B20" s="147">
        <v>0</v>
      </c>
      <c r="C20" s="147">
        <v>0</v>
      </c>
      <c r="D20" s="147">
        <v>0</v>
      </c>
      <c r="E20" s="147">
        <v>0</v>
      </c>
      <c r="F20" s="150">
        <f>SUM(B20:E20)</f>
        <v>0</v>
      </c>
    </row>
    <row r="21" spans="1:6" ht="12.75">
      <c r="A21" s="151" t="s">
        <v>677</v>
      </c>
      <c r="B21" s="145">
        <f>SUM(B22:B24)</f>
        <v>569469</v>
      </c>
      <c r="C21" s="145">
        <f>SUM(C22:C24)</f>
        <v>576745</v>
      </c>
      <c r="D21" s="145">
        <f>SUM(D22:D24)</f>
        <v>586587</v>
      </c>
      <c r="E21" s="145">
        <f>SUM(E22:E24)</f>
        <v>575977</v>
      </c>
      <c r="F21" s="152">
        <f>SUM(F22:F24)</f>
        <v>2308778</v>
      </c>
    </row>
    <row r="22" spans="1:6" ht="12.75">
      <c r="A22" s="153" t="s">
        <v>670</v>
      </c>
      <c r="B22" s="147">
        <f>522932+521</f>
        <v>523453</v>
      </c>
      <c r="C22" s="147">
        <v>522931</v>
      </c>
      <c r="D22" s="147">
        <v>522931</v>
      </c>
      <c r="E22" s="147">
        <v>522931</v>
      </c>
      <c r="F22" s="147">
        <f>SUM(B22:E22)</f>
        <v>2092246</v>
      </c>
    </row>
    <row r="23" spans="1:11" ht="12.75">
      <c r="A23" s="153" t="s">
        <v>671</v>
      </c>
      <c r="B23" s="147">
        <v>46016</v>
      </c>
      <c r="C23" s="147">
        <v>53814</v>
      </c>
      <c r="D23" s="147">
        <v>63656</v>
      </c>
      <c r="E23" s="147">
        <v>53046</v>
      </c>
      <c r="F23" s="147">
        <f>SUM(B23:E23)</f>
        <v>216532</v>
      </c>
      <c r="G23" s="148"/>
      <c r="K23" s="136"/>
    </row>
    <row r="24" spans="1:6" ht="12.75">
      <c r="A24" s="154" t="s">
        <v>675</v>
      </c>
      <c r="B24" s="147">
        <v>0</v>
      </c>
      <c r="C24" s="147">
        <v>0</v>
      </c>
      <c r="D24" s="147">
        <v>0</v>
      </c>
      <c r="E24" s="147">
        <v>0</v>
      </c>
      <c r="F24" s="150">
        <f>SUM(B24:E24)</f>
        <v>0</v>
      </c>
    </row>
    <row r="25" spans="1:6" ht="12.75">
      <c r="A25" s="151" t="s">
        <v>678</v>
      </c>
      <c r="B25" s="145">
        <f>SUM(B26:B28)</f>
        <v>120906</v>
      </c>
      <c r="C25" s="145">
        <f>SUM(C26:C28)</f>
        <v>143929</v>
      </c>
      <c r="D25" s="145">
        <f>SUM(D26:D28)</f>
        <v>190055</v>
      </c>
      <c r="E25" s="145">
        <f>SUM(E26:E28)</f>
        <v>8462459</v>
      </c>
      <c r="F25" s="152">
        <f>SUM(F26:F28)</f>
        <v>8917349</v>
      </c>
    </row>
    <row r="26" spans="1:14" ht="12.75">
      <c r="A26" s="153" t="s">
        <v>670</v>
      </c>
      <c r="B26" s="147">
        <v>0</v>
      </c>
      <c r="C26" s="147">
        <v>0</v>
      </c>
      <c r="D26" s="147">
        <v>0</v>
      </c>
      <c r="E26" s="147">
        <v>8272404</v>
      </c>
      <c r="F26" s="147">
        <f>SUM(B26:E26)</f>
        <v>8272404</v>
      </c>
      <c r="J26" s="148"/>
      <c r="M26" s="148"/>
      <c r="N26" s="148"/>
    </row>
    <row r="27" spans="1:14" ht="12.75">
      <c r="A27" s="153" t="s">
        <v>671</v>
      </c>
      <c r="B27" s="147">
        <v>120906</v>
      </c>
      <c r="C27" s="147">
        <v>143929</v>
      </c>
      <c r="D27" s="147">
        <v>190055</v>
      </c>
      <c r="E27" s="147">
        <v>190055</v>
      </c>
      <c r="F27" s="147">
        <f>SUM(B27:E27)</f>
        <v>644945</v>
      </c>
      <c r="G27" s="148"/>
      <c r="L27" s="148"/>
      <c r="M27" s="148"/>
      <c r="N27" s="148"/>
    </row>
    <row r="28" spans="1:14" ht="12.75">
      <c r="A28" s="154" t="s">
        <v>675</v>
      </c>
      <c r="B28" s="150">
        <v>0</v>
      </c>
      <c r="C28" s="150">
        <v>0</v>
      </c>
      <c r="D28" s="150">
        <v>0</v>
      </c>
      <c r="E28" s="150">
        <v>0</v>
      </c>
      <c r="F28" s="150">
        <f>SUM(B28:E28)</f>
        <v>0</v>
      </c>
      <c r="J28" s="148"/>
      <c r="L28" s="148"/>
      <c r="M28" s="148"/>
      <c r="N28" s="148"/>
    </row>
    <row r="29" spans="1:14" ht="12.75">
      <c r="A29" s="151" t="s">
        <v>679</v>
      </c>
      <c r="B29" s="145">
        <f>SUM(B30:B32)</f>
        <v>1146285</v>
      </c>
      <c r="C29" s="145">
        <f>SUM(C30:C32)</f>
        <v>1113011</v>
      </c>
      <c r="D29" s="145">
        <f>SUM(D30:D32)</f>
        <v>1024532</v>
      </c>
      <c r="E29" s="145">
        <f>SUM(E30:E32)</f>
        <v>995908</v>
      </c>
      <c r="F29" s="152">
        <f>SUM(F30:F32)</f>
        <v>4279736</v>
      </c>
      <c r="J29" s="148"/>
      <c r="L29" s="148"/>
      <c r="M29" s="148"/>
      <c r="N29" s="148"/>
    </row>
    <row r="30" spans="1:14" ht="12.75">
      <c r="A30" s="153" t="s">
        <v>670</v>
      </c>
      <c r="B30" s="147">
        <f>938660+84</f>
        <v>938744</v>
      </c>
      <c r="C30" s="147">
        <v>938660</v>
      </c>
      <c r="D30" s="147">
        <v>938660</v>
      </c>
      <c r="E30" s="147">
        <v>938660</v>
      </c>
      <c r="F30" s="147">
        <f>SUM(B30:E30)</f>
        <v>3754724</v>
      </c>
      <c r="L30" s="148"/>
      <c r="M30" s="148"/>
      <c r="N30" s="148"/>
    </row>
    <row r="31" spans="1:14" ht="12.75">
      <c r="A31" s="153" t="s">
        <v>671</v>
      </c>
      <c r="B31" s="147">
        <v>204679</v>
      </c>
      <c r="C31" s="147">
        <v>174351</v>
      </c>
      <c r="D31" s="147">
        <v>85872</v>
      </c>
      <c r="E31" s="147">
        <v>57248</v>
      </c>
      <c r="F31" s="147">
        <f>SUM(B31:E31)</f>
        <v>522150</v>
      </c>
      <c r="G31" s="148"/>
      <c r="J31" s="148"/>
      <c r="M31" s="148"/>
      <c r="N31" s="148"/>
    </row>
    <row r="32" spans="1:14" ht="12.75">
      <c r="A32" s="154" t="s">
        <v>675</v>
      </c>
      <c r="B32" s="147">
        <f>46+2816</f>
        <v>2862</v>
      </c>
      <c r="C32" s="147">
        <v>0</v>
      </c>
      <c r="D32" s="147">
        <v>0</v>
      </c>
      <c r="E32" s="147">
        <v>0</v>
      </c>
      <c r="F32" s="150">
        <f>SUM(B32:E32)</f>
        <v>2862</v>
      </c>
      <c r="I32" s="155"/>
      <c r="J32" s="148"/>
      <c r="L32" s="148"/>
      <c r="M32" s="148"/>
      <c r="N32" s="148"/>
    </row>
    <row r="33" spans="1:14" ht="12.75">
      <c r="A33" s="151" t="s">
        <v>680</v>
      </c>
      <c r="B33" s="145">
        <f>SUM(B34:B36)</f>
        <v>3643</v>
      </c>
      <c r="C33" s="145">
        <f>SUM(C34:C36)</f>
        <v>812906</v>
      </c>
      <c r="D33" s="145">
        <f>SUM(D34:D36)</f>
        <v>809549</v>
      </c>
      <c r="E33" s="145">
        <f>SUM(E34:E36)</f>
        <v>785702</v>
      </c>
      <c r="F33" s="152">
        <f>SUM(F34:F36)</f>
        <v>2411800</v>
      </c>
      <c r="I33" s="155"/>
      <c r="J33" s="148"/>
      <c r="M33" s="148"/>
      <c r="N33" s="148"/>
    </row>
    <row r="34" spans="1:14" ht="12.75">
      <c r="A34" s="153" t="s">
        <v>670</v>
      </c>
      <c r="B34" s="147">
        <v>0</v>
      </c>
      <c r="C34" s="147">
        <v>714162</v>
      </c>
      <c r="D34" s="147">
        <v>714162</v>
      </c>
      <c r="E34" s="147">
        <v>714162</v>
      </c>
      <c r="F34" s="147">
        <f>SUM(B34:E34)</f>
        <v>2142486</v>
      </c>
      <c r="N34" s="148"/>
    </row>
    <row r="35" spans="1:14" ht="12.75">
      <c r="A35" s="153" t="s">
        <v>671</v>
      </c>
      <c r="B35" s="147">
        <v>0</v>
      </c>
      <c r="C35" s="147">
        <v>98744</v>
      </c>
      <c r="D35" s="147">
        <v>95387</v>
      </c>
      <c r="E35" s="147">
        <v>71540</v>
      </c>
      <c r="F35" s="147">
        <f>SUM(B35:E35)</f>
        <v>265671</v>
      </c>
      <c r="G35" s="148"/>
      <c r="J35" s="148"/>
      <c r="M35" s="148"/>
      <c r="N35" s="148"/>
    </row>
    <row r="36" spans="1:14" ht="12.75">
      <c r="A36" s="154" t="s">
        <v>675</v>
      </c>
      <c r="B36" s="147">
        <v>3643</v>
      </c>
      <c r="C36" s="147">
        <v>0</v>
      </c>
      <c r="D36" s="147">
        <v>0</v>
      </c>
      <c r="E36" s="147">
        <v>0</v>
      </c>
      <c r="F36" s="150">
        <f>SUM(B36:E36)</f>
        <v>3643</v>
      </c>
      <c r="J36" s="148"/>
      <c r="L36" s="148"/>
      <c r="M36" s="148"/>
      <c r="N36" s="148"/>
    </row>
    <row r="37" spans="1:14" ht="12.75">
      <c r="A37" s="151" t="s">
        <v>681</v>
      </c>
      <c r="B37" s="145">
        <f>SUM(B38:B40)</f>
        <v>0</v>
      </c>
      <c r="C37" s="145">
        <f>SUM(C38:C40)</f>
        <v>86930</v>
      </c>
      <c r="D37" s="145">
        <f>SUM(D38:D40)</f>
        <v>1439908</v>
      </c>
      <c r="E37" s="145">
        <f>SUM(E38:E40)</f>
        <v>1409125</v>
      </c>
      <c r="F37" s="152">
        <f>SUM(F38:F40)</f>
        <v>2935963</v>
      </c>
      <c r="H37" s="148"/>
      <c r="I37" s="148"/>
      <c r="J37" s="148"/>
      <c r="M37" s="148"/>
      <c r="N37" s="148"/>
    </row>
    <row r="38" spans="1:14" ht="12.75">
      <c r="A38" s="153" t="s">
        <v>670</v>
      </c>
      <c r="B38" s="147">
        <v>0</v>
      </c>
      <c r="C38" s="147">
        <v>0</v>
      </c>
      <c r="D38" s="147">
        <v>1132083</v>
      </c>
      <c r="E38" s="147">
        <v>1132080</v>
      </c>
      <c r="F38" s="147">
        <f>SUM(B38:E38)</f>
        <v>2264163</v>
      </c>
      <c r="N38" s="148"/>
    </row>
    <row r="39" spans="1:14" ht="12.75">
      <c r="A39" s="153" t="s">
        <v>671</v>
      </c>
      <c r="B39" s="147">
        <v>0</v>
      </c>
      <c r="C39" s="147">
        <f>64743-22551</f>
        <v>42192</v>
      </c>
      <c r="D39" s="147">
        <v>307825</v>
      </c>
      <c r="E39" s="147">
        <v>277045</v>
      </c>
      <c r="F39" s="147">
        <f>SUM(B39:E39)</f>
        <v>627062</v>
      </c>
      <c r="G39" s="148"/>
      <c r="J39" s="148"/>
      <c r="M39" s="148"/>
      <c r="N39" s="148"/>
    </row>
    <row r="40" spans="1:14" ht="12.75">
      <c r="A40" s="154" t="s">
        <v>675</v>
      </c>
      <c r="B40" s="147">
        <v>0</v>
      </c>
      <c r="C40" s="147">
        <v>44738</v>
      </c>
      <c r="D40" s="147">
        <v>0</v>
      </c>
      <c r="E40" s="147">
        <v>0</v>
      </c>
      <c r="F40" s="150">
        <f>SUM(B40:E40)</f>
        <v>44738</v>
      </c>
      <c r="J40" s="148"/>
      <c r="L40" s="148"/>
      <c r="M40" s="148"/>
      <c r="N40" s="148"/>
    </row>
    <row r="41" spans="1:14" ht="12.75">
      <c r="A41" s="151" t="s">
        <v>682</v>
      </c>
      <c r="B41" s="145">
        <f>SUM(B42:B44)</f>
        <v>0</v>
      </c>
      <c r="C41" s="145">
        <f>SUM(C42:C44)</f>
        <v>0</v>
      </c>
      <c r="D41" s="145">
        <f>SUM(D42:D44)</f>
        <v>74042</v>
      </c>
      <c r="E41" s="145">
        <f>SUM(E42:E44)</f>
        <v>150551</v>
      </c>
      <c r="F41" s="152">
        <f>SUM(F42:F44)</f>
        <v>224593</v>
      </c>
      <c r="J41" s="148"/>
      <c r="L41" s="148"/>
      <c r="M41" s="148"/>
      <c r="N41" s="148"/>
    </row>
    <row r="42" spans="1:14" ht="12.75">
      <c r="A42" s="153" t="s">
        <v>670</v>
      </c>
      <c r="B42" s="147">
        <v>0</v>
      </c>
      <c r="C42" s="147">
        <v>0</v>
      </c>
      <c r="D42" s="147">
        <v>0</v>
      </c>
      <c r="E42" s="147">
        <v>0</v>
      </c>
      <c r="F42" s="147">
        <f>SUM(B42:E42)</f>
        <v>0</v>
      </c>
      <c r="J42" s="148"/>
      <c r="L42" s="148"/>
      <c r="M42" s="148"/>
      <c r="N42" s="148"/>
    </row>
    <row r="43" spans="1:14" ht="12.75">
      <c r="A43" s="153" t="s">
        <v>671</v>
      </c>
      <c r="B43" s="147">
        <v>0</v>
      </c>
      <c r="C43" s="147">
        <v>0</v>
      </c>
      <c r="D43" s="147">
        <f>150551-150551</f>
        <v>0</v>
      </c>
      <c r="E43" s="147">
        <v>150551</v>
      </c>
      <c r="F43" s="147">
        <f>SUM(B43:E43)</f>
        <v>150551</v>
      </c>
      <c r="J43" s="148"/>
      <c r="L43" s="148"/>
      <c r="M43" s="148"/>
      <c r="N43" s="148"/>
    </row>
    <row r="44" spans="1:14" ht="12.75">
      <c r="A44" s="154" t="s">
        <v>675</v>
      </c>
      <c r="B44" s="147">
        <v>0</v>
      </c>
      <c r="C44" s="147">
        <v>0</v>
      </c>
      <c r="D44" s="147">
        <v>74042</v>
      </c>
      <c r="E44" s="147">
        <v>0</v>
      </c>
      <c r="F44" s="150">
        <f>SUM(B44:E44)</f>
        <v>74042</v>
      </c>
      <c r="J44" s="148"/>
      <c r="L44" s="148"/>
      <c r="M44" s="148"/>
      <c r="N44" s="148"/>
    </row>
    <row r="45" spans="1:14" ht="27" customHeight="1">
      <c r="A45" s="151" t="s">
        <v>683</v>
      </c>
      <c r="B45" s="145">
        <f>SUM(B46:B48)</f>
        <v>0</v>
      </c>
      <c r="C45" s="145">
        <f>SUM(C46:C48)</f>
        <v>19173</v>
      </c>
      <c r="D45" s="145">
        <f>SUM(D46:D48)</f>
        <v>44482</v>
      </c>
      <c r="E45" s="145">
        <f>SUM(E46:E48)</f>
        <v>128114</v>
      </c>
      <c r="F45" s="152">
        <f>SUM(F46:F48)</f>
        <v>191769</v>
      </c>
      <c r="J45" s="148"/>
      <c r="K45" s="148"/>
      <c r="L45" s="148"/>
      <c r="N45" s="148"/>
    </row>
    <row r="46" spans="1:13" ht="12.75">
      <c r="A46" s="153" t="s">
        <v>670</v>
      </c>
      <c r="B46" s="147">
        <v>0</v>
      </c>
      <c r="C46" s="147">
        <v>0</v>
      </c>
      <c r="D46" s="147">
        <v>0</v>
      </c>
      <c r="E46" s="147">
        <v>0</v>
      </c>
      <c r="F46" s="147">
        <f>SUM(B46:E46)</f>
        <v>0</v>
      </c>
      <c r="J46" s="148"/>
      <c r="M46" s="148"/>
    </row>
    <row r="47" spans="1:13" ht="12.75">
      <c r="A47" s="153" t="s">
        <v>671</v>
      </c>
      <c r="B47" s="147">
        <v>0</v>
      </c>
      <c r="C47" s="147">
        <f>68449-68449</f>
        <v>0</v>
      </c>
      <c r="D47" s="147">
        <f>78114-78114</f>
        <v>0</v>
      </c>
      <c r="E47" s="147">
        <v>78114</v>
      </c>
      <c r="F47" s="147">
        <f>SUM(B47:E47)</f>
        <v>78114</v>
      </c>
      <c r="G47" s="148"/>
      <c r="J47" s="148"/>
      <c r="K47" s="156"/>
      <c r="L47" s="148"/>
      <c r="M47" s="148"/>
    </row>
    <row r="48" spans="1:13" ht="12.75">
      <c r="A48" s="154" t="s">
        <v>675</v>
      </c>
      <c r="B48" s="147">
        <v>0</v>
      </c>
      <c r="C48" s="147">
        <v>19173</v>
      </c>
      <c r="D48" s="147">
        <f>50000-5518</f>
        <v>44482</v>
      </c>
      <c r="E48" s="147">
        <v>50000</v>
      </c>
      <c r="F48" s="150">
        <f>SUM(B48:E48)</f>
        <v>113655</v>
      </c>
      <c r="J48" s="148"/>
      <c r="K48" s="148"/>
      <c r="L48" s="148"/>
      <c r="M48" s="148"/>
    </row>
    <row r="49" spans="1:13" ht="12.75">
      <c r="A49" s="151" t="s">
        <v>684</v>
      </c>
      <c r="B49" s="145">
        <f>B50</f>
        <v>1638</v>
      </c>
      <c r="C49" s="145">
        <f>C50</f>
        <v>37069</v>
      </c>
      <c r="D49" s="145">
        <f>D50</f>
        <v>35000</v>
      </c>
      <c r="E49" s="145">
        <f>E50</f>
        <v>35000</v>
      </c>
      <c r="F49" s="152">
        <f>F50</f>
        <v>108707</v>
      </c>
      <c r="J49" s="148"/>
      <c r="M49" s="148"/>
    </row>
    <row r="50" spans="1:12" ht="12.75">
      <c r="A50" s="154" t="s">
        <v>685</v>
      </c>
      <c r="B50" s="150">
        <f>961+677</f>
        <v>1638</v>
      </c>
      <c r="C50" s="150">
        <v>37069</v>
      </c>
      <c r="D50" s="150">
        <v>35000</v>
      </c>
      <c r="E50" s="150">
        <v>35000</v>
      </c>
      <c r="F50" s="150">
        <f>SUM(B50:E50)</f>
        <v>108707</v>
      </c>
      <c r="J50" s="148"/>
      <c r="K50" s="148"/>
      <c r="L50" s="148"/>
    </row>
    <row r="51" spans="1:13" ht="12.75">
      <c r="A51" s="151" t="s">
        <v>686</v>
      </c>
      <c r="B51" s="145">
        <f>SUM(B52:B53)</f>
        <v>484079</v>
      </c>
      <c r="C51" s="145">
        <f>SUM(C52:C53)</f>
        <v>581410</v>
      </c>
      <c r="D51" s="145">
        <f>SUM(D52:D53)</f>
        <v>580896</v>
      </c>
      <c r="E51" s="145">
        <f>SUM(E52:E53)</f>
        <v>571213</v>
      </c>
      <c r="F51" s="152">
        <f>SUM(F52:F53)</f>
        <v>2217598</v>
      </c>
      <c r="J51" s="148"/>
      <c r="K51" s="148"/>
      <c r="L51" s="148"/>
      <c r="M51" s="148"/>
    </row>
    <row r="52" spans="1:13" ht="12.75">
      <c r="A52" s="153" t="s">
        <v>670</v>
      </c>
      <c r="B52" s="147">
        <v>214490</v>
      </c>
      <c r="C52" s="147">
        <v>224101</v>
      </c>
      <c r="D52" s="147">
        <v>234183</v>
      </c>
      <c r="E52" s="147">
        <v>244697</v>
      </c>
      <c r="F52" s="147">
        <f>SUM(B52:E52)</f>
        <v>917471</v>
      </c>
      <c r="J52" s="148"/>
      <c r="K52" s="148"/>
      <c r="L52" s="148"/>
      <c r="M52" s="148"/>
    </row>
    <row r="53" spans="1:12" ht="12.75">
      <c r="A53" s="153" t="s">
        <v>671</v>
      </c>
      <c r="B53" s="150">
        <v>269589</v>
      </c>
      <c r="C53" s="147">
        <f>259975+97334</f>
        <v>357309</v>
      </c>
      <c r="D53" s="147">
        <v>346713</v>
      </c>
      <c r="E53" s="147">
        <v>326516</v>
      </c>
      <c r="F53" s="150">
        <f>SUM(B53:E53)</f>
        <v>1300127</v>
      </c>
      <c r="J53" s="148"/>
      <c r="K53" s="148"/>
      <c r="L53" s="148"/>
    </row>
    <row r="54" spans="1:10" ht="12.75">
      <c r="A54" s="151" t="s">
        <v>687</v>
      </c>
      <c r="B54" s="145">
        <f>SUM(B55:B56)</f>
        <v>9393</v>
      </c>
      <c r="C54" s="145">
        <f>SUM(C55:C56)</f>
        <v>9427</v>
      </c>
      <c r="D54" s="145">
        <f>SUM(D55:D56)</f>
        <v>9397</v>
      </c>
      <c r="E54" s="145">
        <f>SUM(E55:E56)</f>
        <v>8807</v>
      </c>
      <c r="F54" s="152">
        <f>SUM(F55:F56)</f>
        <v>37024</v>
      </c>
      <c r="J54" s="148"/>
    </row>
    <row r="55" spans="1:12" ht="12.75">
      <c r="A55" s="153" t="s">
        <v>670</v>
      </c>
      <c r="B55" s="147">
        <f>2880+5851</f>
        <v>8731</v>
      </c>
      <c r="C55" s="147">
        <f>5880+3068</f>
        <v>8948</v>
      </c>
      <c r="D55" s="147">
        <f>5856+3255</f>
        <v>9111</v>
      </c>
      <c r="E55" s="147">
        <v>8726</v>
      </c>
      <c r="F55" s="147">
        <f>SUM(B55:E55)</f>
        <v>35516</v>
      </c>
      <c r="J55" s="148"/>
      <c r="K55" s="148"/>
      <c r="L55" s="148"/>
    </row>
    <row r="56" spans="1:12" ht="12.75">
      <c r="A56" s="153" t="s">
        <v>671</v>
      </c>
      <c r="B56" s="150">
        <v>662</v>
      </c>
      <c r="C56" s="150">
        <v>479</v>
      </c>
      <c r="D56" s="150">
        <v>286</v>
      </c>
      <c r="E56" s="150">
        <v>81</v>
      </c>
      <c r="F56" s="147">
        <f>SUM(B56:E56)</f>
        <v>1508</v>
      </c>
      <c r="J56" s="148"/>
      <c r="K56" s="148"/>
      <c r="L56" s="148"/>
    </row>
    <row r="57" spans="1:10" ht="15" customHeight="1">
      <c r="A57" s="157" t="s">
        <v>688</v>
      </c>
      <c r="B57" s="158">
        <f>SUM(B5,B9,B13,B17,B21,B25,B29,B54,B41,B45,B49,B51,B33,B37)</f>
        <v>5357352</v>
      </c>
      <c r="C57" s="158">
        <f>SUM(C5,C9,C13,C17,C21,C25,C29,C54,C41,C45,C49,C51,C33,C37)</f>
        <v>13020851</v>
      </c>
      <c r="D57" s="158">
        <f>SUM(D5,D9,D13,D17,D21,D25,D29,D54,D41,D45,D49,D51,D33,D37)</f>
        <v>7587676</v>
      </c>
      <c r="E57" s="158">
        <f>SUM(E5,E9,E13,E17,E21,E25,E29,E54,E41,E45,E49,E51,E33,E37)</f>
        <v>15864084</v>
      </c>
      <c r="F57" s="158">
        <f>SUM(F5,F9,F13,F17,F21,F25,F29,F54,F41,F45,F49,F51,F33,F37)</f>
        <v>41829963</v>
      </c>
      <c r="H57" s="148"/>
      <c r="J57" s="148"/>
    </row>
  </sheetData>
  <sheetProtection selectLockedCells="1" selectUnlockedCells="1"/>
  <mergeCells count="1">
    <mergeCell ref="A1:F2"/>
  </mergeCells>
  <printOptions/>
  <pageMargins left="0.7479166666666667" right="0.7479166666666667" top="0.9840277777777777" bottom="0.5673611111111111" header="0.5" footer="0.5118055555555555"/>
  <pageSetup horizontalDpi="300" verticalDpi="300" orientation="portrait" paperSize="9" scale="95"/>
  <headerFooter alignWithMargins="0">
    <oddHeader xml:space="preserve">&amp;RLisa 6 Tartu Linnavolikogu
22.12.2011 määruse nr 53 juurde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11.28125" style="0" customWidth="1"/>
    <col min="4" max="4" width="11.57421875" style="0" customWidth="1"/>
    <col min="5" max="5" width="11.28125" style="0" customWidth="1"/>
  </cols>
  <sheetData>
    <row r="1" spans="1:5" s="3" customFormat="1" ht="15.75" customHeight="1">
      <c r="A1" s="7" t="s">
        <v>689</v>
      </c>
      <c r="B1" s="7"/>
      <c r="C1" s="7"/>
      <c r="D1" s="7"/>
      <c r="E1" s="7"/>
    </row>
    <row r="2" spans="1:5" s="3" customFormat="1" ht="15.75">
      <c r="A2" s="7" t="s">
        <v>690</v>
      </c>
      <c r="B2" s="7"/>
      <c r="C2" s="7"/>
      <c r="D2" s="7"/>
      <c r="E2" s="7"/>
    </row>
    <row r="3" spans="1:5" s="3" customFormat="1" ht="12.75">
      <c r="A3" s="159"/>
      <c r="B3"/>
      <c r="C3"/>
      <c r="D3"/>
      <c r="E3"/>
    </row>
    <row r="4" spans="1:5" s="3" customFormat="1" ht="12.75">
      <c r="A4" s="159"/>
      <c r="B4"/>
      <c r="C4"/>
      <c r="D4"/>
      <c r="E4" t="s">
        <v>1</v>
      </c>
    </row>
    <row r="5" spans="1:5" s="3" customFormat="1" ht="12.75" customHeight="1">
      <c r="A5" s="160"/>
      <c r="B5" s="161" t="s">
        <v>691</v>
      </c>
      <c r="C5" s="161"/>
      <c r="D5" s="162" t="s">
        <v>32</v>
      </c>
      <c r="E5" s="163" t="s">
        <v>33</v>
      </c>
    </row>
    <row r="6" spans="1:5" s="3" customFormat="1" ht="38.25">
      <c r="A6" s="164" t="s">
        <v>692</v>
      </c>
      <c r="B6" s="45" t="s">
        <v>693</v>
      </c>
      <c r="C6" s="45" t="s">
        <v>694</v>
      </c>
      <c r="D6" s="162"/>
      <c r="E6" s="163"/>
    </row>
    <row r="7" spans="1:5" s="3" customFormat="1" ht="12.75">
      <c r="A7" s="165" t="s">
        <v>146</v>
      </c>
      <c r="B7" s="166">
        <f>SUM(B8:B11)</f>
        <v>55390058</v>
      </c>
      <c r="C7" s="166">
        <f>SUM(C8:C11)</f>
        <v>24945635</v>
      </c>
      <c r="D7" s="166">
        <f>SUM(D8:D11)</f>
        <v>5410464</v>
      </c>
      <c r="E7" s="166">
        <f aca="true" t="shared" si="0" ref="E7:E30">SUM(B7:D7)</f>
        <v>85746157</v>
      </c>
    </row>
    <row r="8" spans="1:5" s="3" customFormat="1" ht="12.75">
      <c r="A8" s="167" t="s">
        <v>695</v>
      </c>
      <c r="B8" s="21">
        <f>SUM(B13,B18,B22,B30,B37,B41,B46)</f>
        <v>21627262</v>
      </c>
      <c r="C8" s="21">
        <f>SUM(C13,C18,C22,C30,C37,C41,C46)</f>
        <v>17473965</v>
      </c>
      <c r="D8" s="21">
        <f>SUM(D13,D18,D22,D30,D37,D41,D46)</f>
        <v>1261034</v>
      </c>
      <c r="E8" s="18">
        <f t="shared" si="0"/>
        <v>40362261</v>
      </c>
    </row>
    <row r="9" spans="1:5" s="3" customFormat="1" ht="12.75">
      <c r="A9" s="167" t="s">
        <v>696</v>
      </c>
      <c r="B9" s="21">
        <f>SUM(B14,B19,B23,B27,B31,B34,B38,B42,B47)</f>
        <v>24877475</v>
      </c>
      <c r="C9" s="21">
        <f>SUM(C14,C19,C23,C27,C31,C34,C38,C42,C47)</f>
        <v>4076493</v>
      </c>
      <c r="D9" s="21">
        <f>SUM(D14,D19,D23,D27,D31,D34,D38,D42,D47)</f>
        <v>3920403</v>
      </c>
      <c r="E9" s="18">
        <f t="shared" si="0"/>
        <v>32874371</v>
      </c>
    </row>
    <row r="10" spans="1:5" s="3" customFormat="1" ht="12.75">
      <c r="A10" s="167" t="s">
        <v>697</v>
      </c>
      <c r="B10" s="21">
        <f>B15+B24+B43</f>
        <v>721440</v>
      </c>
      <c r="C10" s="21">
        <f>C15+C24+C43</f>
        <v>3874</v>
      </c>
      <c r="D10" s="21">
        <f>D15+D24+D43</f>
        <v>197000</v>
      </c>
      <c r="E10" s="18">
        <f t="shared" si="0"/>
        <v>922314</v>
      </c>
    </row>
    <row r="11" spans="1:5" s="3" customFormat="1" ht="12.75">
      <c r="A11" s="167" t="s">
        <v>698</v>
      </c>
      <c r="B11" s="21">
        <f>SUM(B16,B20,B25,B28,B32,B35,B39,B44,B48)</f>
        <v>8163881</v>
      </c>
      <c r="C11" s="21">
        <f>SUM(C16,C20,C25,C28,C32,C35,C39,C44,C48)</f>
        <v>3391303</v>
      </c>
      <c r="D11" s="21">
        <f>SUM(D16,D20,D25,D28,D32,D35,D39,D44,D48)</f>
        <v>32027</v>
      </c>
      <c r="E11" s="18">
        <f t="shared" si="0"/>
        <v>11587211</v>
      </c>
    </row>
    <row r="12" spans="1:5" s="3" customFormat="1" ht="25.5">
      <c r="A12" s="168" t="s">
        <v>699</v>
      </c>
      <c r="B12" s="18">
        <f>SUM(B13:B16)</f>
        <v>6671795</v>
      </c>
      <c r="C12" s="18">
        <f>SUM(C13:C16)</f>
        <v>325008</v>
      </c>
      <c r="D12" s="18">
        <f>SUM(D13:D16)</f>
        <v>55269</v>
      </c>
      <c r="E12" s="18">
        <f t="shared" si="0"/>
        <v>7052072</v>
      </c>
    </row>
    <row r="13" spans="1:5" ht="12.75">
      <c r="A13" s="167" t="s">
        <v>695</v>
      </c>
      <c r="B13" s="21">
        <v>4634389</v>
      </c>
      <c r="C13" s="21">
        <v>325008</v>
      </c>
      <c r="D13" s="21">
        <v>36258</v>
      </c>
      <c r="E13" s="21">
        <f t="shared" si="0"/>
        <v>4995655</v>
      </c>
    </row>
    <row r="14" spans="1:5" ht="12.75">
      <c r="A14" s="167" t="s">
        <v>696</v>
      </c>
      <c r="B14" s="21">
        <f>1262644-1500</f>
        <v>1261144</v>
      </c>
      <c r="C14" s="21">
        <v>0</v>
      </c>
      <c r="D14" s="21">
        <v>19011</v>
      </c>
      <c r="E14" s="21">
        <f t="shared" si="0"/>
        <v>1280155</v>
      </c>
    </row>
    <row r="15" spans="1:5" ht="12.75">
      <c r="A15" s="167" t="s">
        <v>697</v>
      </c>
      <c r="B15" s="21">
        <v>707158</v>
      </c>
      <c r="C15" s="21">
        <v>0</v>
      </c>
      <c r="D15" s="21">
        <v>0</v>
      </c>
      <c r="E15" s="21">
        <f t="shared" si="0"/>
        <v>707158</v>
      </c>
    </row>
    <row r="16" spans="1:5" ht="12.75">
      <c r="A16" s="167" t="s">
        <v>698</v>
      </c>
      <c r="B16" s="21">
        <v>69104</v>
      </c>
      <c r="C16" s="21">
        <v>0</v>
      </c>
      <c r="D16" s="21">
        <v>0</v>
      </c>
      <c r="E16" s="21">
        <f t="shared" si="0"/>
        <v>69104</v>
      </c>
    </row>
    <row r="17" spans="1:5" s="3" customFormat="1" ht="12.75">
      <c r="A17" s="169" t="s">
        <v>10</v>
      </c>
      <c r="B17" s="18">
        <v>252010</v>
      </c>
      <c r="C17" s="18">
        <v>0</v>
      </c>
      <c r="D17" s="18">
        <v>0</v>
      </c>
      <c r="E17" s="18">
        <f t="shared" si="0"/>
        <v>252010</v>
      </c>
    </row>
    <row r="18" spans="1:5" s="170" customFormat="1" ht="12.75">
      <c r="A18" s="167" t="s">
        <v>695</v>
      </c>
      <c r="B18" s="21">
        <v>169034</v>
      </c>
      <c r="C18" s="21">
        <v>0</v>
      </c>
      <c r="D18" s="21">
        <v>0</v>
      </c>
      <c r="E18" s="21">
        <f t="shared" si="0"/>
        <v>169034</v>
      </c>
    </row>
    <row r="19" spans="1:5" ht="12.75">
      <c r="A19" s="167" t="s">
        <v>696</v>
      </c>
      <c r="B19" s="21">
        <v>32009</v>
      </c>
      <c r="C19" s="21">
        <v>0</v>
      </c>
      <c r="D19" s="21">
        <v>0</v>
      </c>
      <c r="E19" s="21">
        <f t="shared" si="0"/>
        <v>32009</v>
      </c>
    </row>
    <row r="20" spans="1:5" ht="12.75">
      <c r="A20" s="167" t="s">
        <v>698</v>
      </c>
      <c r="B20" s="21">
        <v>50967</v>
      </c>
      <c r="C20" s="21">
        <v>0</v>
      </c>
      <c r="D20" s="21">
        <v>0</v>
      </c>
      <c r="E20" s="21">
        <f t="shared" si="0"/>
        <v>50967</v>
      </c>
    </row>
    <row r="21" spans="1:5" s="3" customFormat="1" ht="12.75">
      <c r="A21" s="169" t="s">
        <v>11</v>
      </c>
      <c r="B21" s="18">
        <f>SUM(B22:B25)</f>
        <v>9685230</v>
      </c>
      <c r="C21" s="18">
        <v>0</v>
      </c>
      <c r="D21" s="18">
        <v>586823</v>
      </c>
      <c r="E21" s="18">
        <f t="shared" si="0"/>
        <v>10272053</v>
      </c>
    </row>
    <row r="22" spans="1:5" s="170" customFormat="1" ht="12.75">
      <c r="A22" s="167" t="s">
        <v>695</v>
      </c>
      <c r="B22" s="21">
        <v>40668</v>
      </c>
      <c r="C22" s="21">
        <v>0</v>
      </c>
      <c r="D22" s="21">
        <v>85828</v>
      </c>
      <c r="E22" s="21">
        <f t="shared" si="0"/>
        <v>126496</v>
      </c>
    </row>
    <row r="23" spans="1:5" ht="12.75">
      <c r="A23" s="167" t="s">
        <v>696</v>
      </c>
      <c r="B23" s="21">
        <v>9266293</v>
      </c>
      <c r="C23" s="21">
        <v>0</v>
      </c>
      <c r="D23" s="21">
        <v>303995</v>
      </c>
      <c r="E23" s="21">
        <f t="shared" si="0"/>
        <v>9570288</v>
      </c>
    </row>
    <row r="24" spans="1:5" ht="12.75">
      <c r="A24" s="167" t="s">
        <v>697</v>
      </c>
      <c r="B24" s="21">
        <v>14282</v>
      </c>
      <c r="C24" s="21">
        <v>0</v>
      </c>
      <c r="D24" s="21">
        <v>197000</v>
      </c>
      <c r="E24" s="21">
        <f t="shared" si="0"/>
        <v>211282</v>
      </c>
    </row>
    <row r="25" spans="1:5" ht="12.75">
      <c r="A25" s="167" t="s">
        <v>698</v>
      </c>
      <c r="B25" s="21">
        <f>383160-19173</f>
        <v>363987</v>
      </c>
      <c r="C25" s="21">
        <v>0</v>
      </c>
      <c r="D25" s="21">
        <v>0</v>
      </c>
      <c r="E25" s="21">
        <f t="shared" si="0"/>
        <v>363987</v>
      </c>
    </row>
    <row r="26" spans="1:5" s="3" customFormat="1" ht="12.75">
      <c r="A26" s="169" t="s">
        <v>12</v>
      </c>
      <c r="B26" s="18">
        <v>3553313</v>
      </c>
      <c r="C26" s="18">
        <v>0</v>
      </c>
      <c r="D26" s="18">
        <v>281718</v>
      </c>
      <c r="E26" s="18">
        <f t="shared" si="0"/>
        <v>3835031</v>
      </c>
    </row>
    <row r="27" spans="1:5" ht="12.75">
      <c r="A27" s="167" t="s">
        <v>696</v>
      </c>
      <c r="B27" s="21">
        <v>3529042</v>
      </c>
      <c r="C27" s="21">
        <v>0</v>
      </c>
      <c r="D27" s="21">
        <v>281718</v>
      </c>
      <c r="E27" s="21">
        <f t="shared" si="0"/>
        <v>3810760</v>
      </c>
    </row>
    <row r="28" spans="1:5" ht="12.75">
      <c r="A28" s="167" t="s">
        <v>698</v>
      </c>
      <c r="B28" s="21">
        <v>24271</v>
      </c>
      <c r="C28" s="21">
        <v>0</v>
      </c>
      <c r="D28" s="21">
        <v>0</v>
      </c>
      <c r="E28" s="21">
        <f t="shared" si="0"/>
        <v>24271</v>
      </c>
    </row>
    <row r="29" spans="1:5" s="3" customFormat="1" ht="25.5">
      <c r="A29" s="168" t="s">
        <v>700</v>
      </c>
      <c r="B29" s="18">
        <v>1455687</v>
      </c>
      <c r="C29" s="18">
        <v>0</v>
      </c>
      <c r="D29" s="18">
        <v>0</v>
      </c>
      <c r="E29" s="18">
        <f t="shared" si="0"/>
        <v>1455687</v>
      </c>
    </row>
    <row r="30" spans="1:5" ht="12.75">
      <c r="A30" s="167" t="s">
        <v>695</v>
      </c>
      <c r="B30" s="21">
        <v>190910</v>
      </c>
      <c r="C30" s="21">
        <v>0</v>
      </c>
      <c r="D30" s="21">
        <v>0</v>
      </c>
      <c r="E30" s="21">
        <f t="shared" si="0"/>
        <v>190910</v>
      </c>
    </row>
    <row r="31" spans="1:5" ht="12.75">
      <c r="A31" s="167" t="s">
        <v>696</v>
      </c>
      <c r="B31" s="21">
        <v>1232821</v>
      </c>
      <c r="C31" s="21">
        <v>0</v>
      </c>
      <c r="D31" s="21">
        <v>0</v>
      </c>
      <c r="E31" s="21">
        <f aca="true" t="shared" si="1" ref="E31:E48">SUM(B31:D31)</f>
        <v>1232821</v>
      </c>
    </row>
    <row r="32" spans="1:5" ht="12.75">
      <c r="A32" s="167" t="s">
        <v>698</v>
      </c>
      <c r="B32" s="21">
        <v>31956</v>
      </c>
      <c r="C32" s="21">
        <v>0</v>
      </c>
      <c r="D32" s="21">
        <v>0</v>
      </c>
      <c r="E32" s="21">
        <f t="shared" si="1"/>
        <v>31956</v>
      </c>
    </row>
    <row r="33" spans="1:5" s="3" customFormat="1" ht="12.75">
      <c r="A33" s="169" t="s">
        <v>14</v>
      </c>
      <c r="B33" s="18">
        <v>406627</v>
      </c>
      <c r="C33" s="18">
        <v>0</v>
      </c>
      <c r="D33" s="18">
        <v>0</v>
      </c>
      <c r="E33" s="18">
        <f t="shared" si="1"/>
        <v>406627</v>
      </c>
    </row>
    <row r="34" spans="1:5" ht="12.75">
      <c r="A34" s="167" t="s">
        <v>696</v>
      </c>
      <c r="B34" s="21">
        <v>342268</v>
      </c>
      <c r="C34" s="21">
        <v>0</v>
      </c>
      <c r="D34" s="21">
        <v>0</v>
      </c>
      <c r="E34" s="21">
        <f t="shared" si="1"/>
        <v>342268</v>
      </c>
    </row>
    <row r="35" spans="1:5" ht="12.75">
      <c r="A35" s="167" t="s">
        <v>698</v>
      </c>
      <c r="B35" s="21">
        <v>64359</v>
      </c>
      <c r="C35" s="21">
        <v>0</v>
      </c>
      <c r="D35" s="21">
        <v>0</v>
      </c>
      <c r="E35" s="21">
        <f t="shared" si="1"/>
        <v>64359</v>
      </c>
    </row>
    <row r="36" spans="1:5" s="3" customFormat="1" ht="12.75">
      <c r="A36" s="169" t="s">
        <v>532</v>
      </c>
      <c r="B36" s="18">
        <f>SUM(B37:B39)</f>
        <v>6643019</v>
      </c>
      <c r="C36" s="18">
        <f>SUM(C37:C39)</f>
        <v>113790</v>
      </c>
      <c r="D36" s="18">
        <f>SUM(D37:D39)</f>
        <v>248905</v>
      </c>
      <c r="E36" s="18">
        <f t="shared" si="1"/>
        <v>7005714</v>
      </c>
    </row>
    <row r="37" spans="1:5" s="3" customFormat="1" ht="12.75">
      <c r="A37" s="167" t="s">
        <v>695</v>
      </c>
      <c r="B37" s="21">
        <v>2282176</v>
      </c>
      <c r="C37" s="21">
        <v>13229</v>
      </c>
      <c r="D37" s="21">
        <v>111059</v>
      </c>
      <c r="E37" s="21">
        <f t="shared" si="1"/>
        <v>2406464</v>
      </c>
    </row>
    <row r="38" spans="1:5" ht="12.75">
      <c r="A38" s="167" t="s">
        <v>696</v>
      </c>
      <c r="B38" s="21">
        <v>1064194</v>
      </c>
      <c r="C38" s="21">
        <v>100561</v>
      </c>
      <c r="D38" s="21">
        <v>137846</v>
      </c>
      <c r="E38" s="21">
        <f t="shared" si="1"/>
        <v>1302601</v>
      </c>
    </row>
    <row r="39" spans="1:5" ht="12.75">
      <c r="A39" s="167" t="s">
        <v>698</v>
      </c>
      <c r="B39" s="21">
        <f>3255465+7222+9789+19173+5000</f>
        <v>3296649</v>
      </c>
      <c r="C39" s="21">
        <v>0</v>
      </c>
      <c r="D39" s="21">
        <v>0</v>
      </c>
      <c r="E39" s="21">
        <f t="shared" si="1"/>
        <v>3296649</v>
      </c>
    </row>
    <row r="40" spans="1:5" s="3" customFormat="1" ht="12.75">
      <c r="A40" s="169" t="s">
        <v>16</v>
      </c>
      <c r="B40" s="18">
        <f>SUM(B41:B44)</f>
        <v>20919508</v>
      </c>
      <c r="C40" s="18">
        <v>22905689</v>
      </c>
      <c r="D40" s="18">
        <v>3398836</v>
      </c>
      <c r="E40" s="18">
        <f t="shared" si="1"/>
        <v>47224033</v>
      </c>
    </row>
    <row r="41" spans="1:5" ht="12.75">
      <c r="A41" s="167" t="s">
        <v>695</v>
      </c>
      <c r="B41" s="21">
        <v>12928074</v>
      </c>
      <c r="C41" s="21">
        <v>17135728</v>
      </c>
      <c r="D41" s="21">
        <v>908704</v>
      </c>
      <c r="E41" s="21">
        <f t="shared" si="1"/>
        <v>30972506</v>
      </c>
    </row>
    <row r="42" spans="1:5" ht="12.75">
      <c r="A42" s="167" t="s">
        <v>696</v>
      </c>
      <c r="B42" s="21">
        <f>6595215</f>
        <v>6595215</v>
      </c>
      <c r="C42" s="21">
        <v>3760205</v>
      </c>
      <c r="D42" s="21">
        <v>2462400</v>
      </c>
      <c r="E42" s="21">
        <f t="shared" si="1"/>
        <v>12817820</v>
      </c>
    </row>
    <row r="43" spans="1:5" ht="12.75">
      <c r="A43" s="167" t="s">
        <v>697</v>
      </c>
      <c r="B43" s="21">
        <v>0</v>
      </c>
      <c r="C43" s="21">
        <v>3874</v>
      </c>
      <c r="D43" s="21">
        <v>0</v>
      </c>
      <c r="E43" s="21">
        <f t="shared" si="1"/>
        <v>3874</v>
      </c>
    </row>
    <row r="44" spans="1:5" ht="12.75">
      <c r="A44" s="167" t="s">
        <v>698</v>
      </c>
      <c r="B44" s="21">
        <f>1403441-7222</f>
        <v>1396219</v>
      </c>
      <c r="C44" s="21">
        <v>2005882</v>
      </c>
      <c r="D44" s="21">
        <v>27732</v>
      </c>
      <c r="E44" s="21">
        <f t="shared" si="1"/>
        <v>3429833</v>
      </c>
    </row>
    <row r="45" spans="1:5" s="3" customFormat="1" ht="12.75">
      <c r="A45" s="169" t="s">
        <v>17</v>
      </c>
      <c r="B45" s="18">
        <v>5802869</v>
      </c>
      <c r="C45" s="18">
        <f>SUM(C46:C48)</f>
        <v>1601148</v>
      </c>
      <c r="D45" s="18">
        <v>838913</v>
      </c>
      <c r="E45" s="18">
        <f t="shared" si="1"/>
        <v>8242930</v>
      </c>
    </row>
    <row r="46" spans="1:5" ht="12.75">
      <c r="A46" s="167" t="s">
        <v>695</v>
      </c>
      <c r="B46" s="21">
        <v>1382011</v>
      </c>
      <c r="C46" s="21">
        <v>0</v>
      </c>
      <c r="D46" s="21">
        <v>119185</v>
      </c>
      <c r="E46" s="21">
        <f t="shared" si="1"/>
        <v>1501196</v>
      </c>
    </row>
    <row r="47" spans="1:5" ht="12.75">
      <c r="A47" s="167" t="s">
        <v>696</v>
      </c>
      <c r="B47" s="21">
        <v>1554489</v>
      </c>
      <c r="C47" s="21">
        <v>215727</v>
      </c>
      <c r="D47" s="21">
        <v>715433</v>
      </c>
      <c r="E47" s="21">
        <f t="shared" si="1"/>
        <v>2485649</v>
      </c>
    </row>
    <row r="48" spans="1:5" ht="12.75">
      <c r="A48" s="167" t="s">
        <v>698</v>
      </c>
      <c r="B48" s="21">
        <v>2866369</v>
      </c>
      <c r="C48" s="21">
        <f>1173296+212125</f>
        <v>1385421</v>
      </c>
      <c r="D48" s="21">
        <v>4295</v>
      </c>
      <c r="E48" s="21">
        <f t="shared" si="1"/>
        <v>4256085</v>
      </c>
    </row>
  </sheetData>
  <sheetProtection selectLockedCells="1" selectUnlockedCells="1"/>
  <mergeCells count="5">
    <mergeCell ref="A1:E1"/>
    <mergeCell ref="A2:E2"/>
    <mergeCell ref="B5:C5"/>
    <mergeCell ref="D5:D6"/>
    <mergeCell ref="E5:E6"/>
  </mergeCells>
  <printOptions/>
  <pageMargins left="0.7479166666666667" right="0.7479166666666667" top="0.9840277777777777" bottom="0.8451388888888889" header="0.5" footer="0.5118055555555555"/>
  <pageSetup horizontalDpi="300" verticalDpi="300" orientation="portrait" paperSize="9"/>
  <headerFooter alignWithMargins="0">
    <oddHeader>&amp;RLisa 7
Tartu Linnavolikogu 22.12.2011
määruse nr 53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2011-12-20T08:38:06Z</cp:lastPrinted>
  <dcterms:created xsi:type="dcterms:W3CDTF">1996-10-14T23:33:28Z</dcterms:created>
  <dcterms:modified xsi:type="dcterms:W3CDTF">2011-12-20T11:45:38Z</dcterms:modified>
  <cp:category/>
  <cp:version/>
  <cp:contentType/>
  <cp:contentStatus/>
  <cp:revision>1</cp:revision>
</cp:coreProperties>
</file>