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206" windowWidth="10755" windowHeight="13035" activeTab="0"/>
  </bookViews>
  <sheets>
    <sheet name="Lisa 1" sheetId="1" r:id="rId1"/>
    <sheet name="Lisa 2" sheetId="2" r:id="rId2"/>
  </sheets>
  <definedNames>
    <definedName name="_xlnm.Print_Titles" localSheetId="1">'Lisa 2'!$4:$4</definedName>
  </definedNames>
  <calcPr fullCalcOnLoad="1"/>
</workbook>
</file>

<file path=xl/sharedStrings.xml><?xml version="1.0" encoding="utf-8"?>
<sst xmlns="http://schemas.openxmlformats.org/spreadsheetml/2006/main" count="276" uniqueCount="262">
  <si>
    <t>Esialgne
eelarve</t>
  </si>
  <si>
    <t>Lõplik
eelarve</t>
  </si>
  <si>
    <t>Täitmine</t>
  </si>
  <si>
    <t>KOKKU INVESTEERINGUD</t>
  </si>
  <si>
    <t>ÜLDISED VALITSUSSEKTORI TEENUSED</t>
  </si>
  <si>
    <t>Infotehnoloogia soetus</t>
  </si>
  <si>
    <t>Raekojas asuva külastuskeskuse projekteerimine</t>
  </si>
  <si>
    <t>MAJANDUS</t>
  </si>
  <si>
    <r>
      <t xml:space="preserve">Maakorraldus </t>
    </r>
    <r>
      <rPr>
        <sz val="8"/>
        <rFont val="Arial"/>
        <family val="2"/>
      </rPr>
      <t>(maa ost)</t>
    </r>
    <r>
      <rPr>
        <b/>
        <sz val="8"/>
        <rFont val="Arial"/>
        <family val="2"/>
      </rPr>
      <t xml:space="preserve"> </t>
    </r>
  </si>
  <si>
    <t xml:space="preserve"> Linna teed, tänavad ja sillad</t>
  </si>
  <si>
    <t>Kruusakattega tänavate asfalteerimine</t>
  </si>
  <si>
    <t>Johani</t>
  </si>
  <si>
    <t>Kartuli</t>
  </si>
  <si>
    <t>Liimandi</t>
  </si>
  <si>
    <t>Oa</t>
  </si>
  <si>
    <t>Rebase</t>
  </si>
  <si>
    <t>Salutähe</t>
  </si>
  <si>
    <t>Starkopfi</t>
  </si>
  <si>
    <t>Vabbe</t>
  </si>
  <si>
    <t>Aruküla tee</t>
  </si>
  <si>
    <t xml:space="preserve">Laane </t>
  </si>
  <si>
    <t>Elleri</t>
  </si>
  <si>
    <t>Kalevi 76 tupik</t>
  </si>
  <si>
    <t xml:space="preserve">Puiestee 118 a tupik </t>
  </si>
  <si>
    <t>Jalakakuru</t>
  </si>
  <si>
    <t>Tammelehe</t>
  </si>
  <si>
    <t>Tammeoksa</t>
  </si>
  <si>
    <t>Vasara</t>
  </si>
  <si>
    <t>Purde</t>
  </si>
  <si>
    <t>Marja</t>
  </si>
  <si>
    <t>Meloni</t>
  </si>
  <si>
    <t>Piiri</t>
  </si>
  <si>
    <t>Tänavate rekonstrueerimine, ehitus</t>
  </si>
  <si>
    <t xml:space="preserve">Emajõe kaldakindlustuse rekonstrueerimine ja jõeäärsete teede korrastamine </t>
  </si>
  <si>
    <t xml:space="preserve">Ujula  (Sauna -Lubja) </t>
  </si>
  <si>
    <t xml:space="preserve">Liiva  (Puiestee-Ujula) </t>
  </si>
  <si>
    <t>Liiva  (Ujula-Ranna tee)</t>
  </si>
  <si>
    <t xml:space="preserve">Raua   (Raua-Vaba) </t>
  </si>
  <si>
    <t>Küüni  (Raekoja plats-Poe)</t>
  </si>
  <si>
    <t>Ülekatted</t>
  </si>
  <si>
    <t>Aardla (Võru-Raudtee)</t>
  </si>
  <si>
    <t>Aardla (Tamme pst-Ringtee)</t>
  </si>
  <si>
    <t>Akadeemia (Riia-Vanemuise)</t>
  </si>
  <si>
    <t>Fortuuna</t>
  </si>
  <si>
    <t>Jaama ( Puiestee-Rõõmu tee)</t>
  </si>
  <si>
    <t>Kesk - Kaar</t>
  </si>
  <si>
    <t>J.Kuperjanovi  (Vallikraavi-Kastani)</t>
  </si>
  <si>
    <t xml:space="preserve">Liivi   </t>
  </si>
  <si>
    <t>Ropka</t>
  </si>
  <si>
    <t>Sõbra</t>
  </si>
  <si>
    <t>Turu ("Kuusakoski" kurv-Sepa)</t>
  </si>
  <si>
    <t>Ringtee (Turu -Tähe)</t>
  </si>
  <si>
    <t>Sõpruse sild (välimised sõidurajad)</t>
  </si>
  <si>
    <t>Viljandi mnt (Ravila-Ringtee)</t>
  </si>
  <si>
    <t>Võru (Aardla-Kabeli)</t>
  </si>
  <si>
    <t>Koostöö ülekatted</t>
  </si>
  <si>
    <t>Ristmikud</t>
  </si>
  <si>
    <t>Lai-Vabaduse-Emajõe</t>
  </si>
  <si>
    <t>Kõnni-ja jalgrattateed</t>
  </si>
  <si>
    <t xml:space="preserve">Ihaste suunaline kergliiklustee  </t>
  </si>
  <si>
    <t xml:space="preserve">Võru suunaline kergliikustee </t>
  </si>
  <si>
    <t>Turu (Ropka tee-Peugeot keskus)</t>
  </si>
  <si>
    <t>Teede, tänavate järelevalve</t>
  </si>
  <si>
    <t>Sademevee liitumistasu</t>
  </si>
  <si>
    <t>Projekteerimine</t>
  </si>
  <si>
    <t>Ida ringtee</t>
  </si>
  <si>
    <t>Uuselamurajoonide infrastruktuuri arendus</t>
  </si>
  <si>
    <t>Bussiootepaviljonid</t>
  </si>
  <si>
    <t>Sildade ehitus, rekonstrueerimine</t>
  </si>
  <si>
    <t>Vabaduse autosild</t>
  </si>
  <si>
    <t>Turusilla hooldustööd</t>
  </si>
  <si>
    <t>Tänavate renoveerimine</t>
  </si>
  <si>
    <t>Koostööprojektid korteriühistutega</t>
  </si>
  <si>
    <t>Koostööprojektid võrguarendajatega</t>
  </si>
  <si>
    <t>Siseteed</t>
  </si>
  <si>
    <t xml:space="preserve">   Transpordikorraldus</t>
  </si>
  <si>
    <t>Tartu ühistranspordi juhtimis-ja 
kontrollisüsteemi arendamine 2009-2011</t>
  </si>
  <si>
    <t xml:space="preserve">   Veetransport</t>
  </si>
  <si>
    <t>SA Emajõe Jõeriik 2 mobiilse paadisilla soetus</t>
  </si>
  <si>
    <t xml:space="preserve">   Õhutransport</t>
  </si>
  <si>
    <t>AS Tallinna Lennujaam</t>
  </si>
  <si>
    <t xml:space="preserve">   Üldmajanduslikud arendusprojektid</t>
  </si>
  <si>
    <t>SA Tartu Teaduspark infrastruktuuri arendamise kaasfinantseerimine</t>
  </si>
  <si>
    <t xml:space="preserve">   Muu majandus</t>
  </si>
  <si>
    <t xml:space="preserve">Korteriühistute remondifond  </t>
  </si>
  <si>
    <t>Territooriumite korrastamine</t>
  </si>
  <si>
    <t xml:space="preserve">Amortiseerunud hoonete lammutused </t>
  </si>
  <si>
    <t xml:space="preserve">Anne Sauna rekonstrueerimine </t>
  </si>
  <si>
    <t>SA Tampere Maja hoone remont</t>
  </si>
  <si>
    <t>Antoniuse õu (Lutsu 3)</t>
  </si>
  <si>
    <t xml:space="preserve">Ettekirjutiste täitmine </t>
  </si>
  <si>
    <t>KESKKONNAKAITSE</t>
  </si>
  <si>
    <t>Jäätmekäitlus</t>
  </si>
  <si>
    <t>Jäätmemajad</t>
  </si>
  <si>
    <t>Turu tn jäätmejaam</t>
  </si>
  <si>
    <t>Prügila maa ostmine</t>
  </si>
  <si>
    <t>Haljastus</t>
  </si>
  <si>
    <t>Mänguväljakud ja terviserajad</t>
  </si>
  <si>
    <t>Toomemägi</t>
  </si>
  <si>
    <t>Puude istutamine</t>
  </si>
  <si>
    <t>ELAMU-JA KOMMUNAALMAJANDUS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</si>
  <si>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</si>
  <si>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</si>
  <si>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</si>
  <si>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</si>
  <si>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Tänavavalgustus</t>
  </si>
  <si>
    <t xml:space="preserve">Õhuliinide rekonstrueerimise  ühisprojektid AS iga Eesti Energia </t>
  </si>
  <si>
    <t>Valgustamata tänavate valgustamine ja valgustuse
renoveerimine  (ülekäigurajad, telemeetria seadmed)</t>
  </si>
  <si>
    <t xml:space="preserve">Raja tn jooksuraja valgustus  </t>
  </si>
  <si>
    <t xml:space="preserve">Kalmistud </t>
  </si>
  <si>
    <t>Pauluse kalmistu majandushoone rekonstrueerimine</t>
  </si>
  <si>
    <t>Raadi kalmistu peatee katmine sõelmetega, 
kalmistu aedade remont</t>
  </si>
  <si>
    <t>Rataslaaduri liisimine</t>
  </si>
  <si>
    <t>VABAAEG, KULTUUR</t>
  </si>
  <si>
    <t xml:space="preserve">   Spordibaasid</t>
  </si>
  <si>
    <t>Tartu Ülikooli spordihoone ehituse laenude
tasumise toetamine</t>
  </si>
  <si>
    <t>EMÜ spordihoone ehituse toetamine</t>
  </si>
  <si>
    <t>MTÜ Tartu Tenniseklubi väljakule katte ja varustuse soetus</t>
  </si>
  <si>
    <t xml:space="preserve">Veski spordibaasi renoveerimine </t>
  </si>
  <si>
    <t xml:space="preserve">Sõudebaasi (Ranna 3)  juurdeehitus </t>
  </si>
  <si>
    <t xml:space="preserve">Spordihoone (Turu 8) rekonstrueerimine </t>
  </si>
  <si>
    <t xml:space="preserve">Ekstreemspordi hall </t>
  </si>
  <si>
    <t>Spordiselts Põhjakotkas Tähtvere spordibaasi renoveerimine</t>
  </si>
  <si>
    <t>Tamme staadioni tribüünihoone</t>
  </si>
  <si>
    <t>Tamme staadioni välikorvpalliväljaku kate</t>
  </si>
  <si>
    <t xml:space="preserve">   Puhkepargid</t>
  </si>
  <si>
    <t>Teaduskeskus AHHAA uue hoone ehitus</t>
  </si>
  <si>
    <t>SA Tähtvere Puhkepark</t>
  </si>
  <si>
    <t xml:space="preserve">   BMX rada </t>
  </si>
  <si>
    <t xml:space="preserve">   laste-ja noortepark (skatepark)</t>
  </si>
  <si>
    <t xml:space="preserve">   inventari  (lumesahk, roomikud) soetus</t>
  </si>
  <si>
    <t xml:space="preserve">   Laste muusika-ja kunstikoolid</t>
  </si>
  <si>
    <t xml:space="preserve">Keskkonnahariduse keskuse (Lille 10) rajamine </t>
  </si>
  <si>
    <t>SA Tartu Kultuurkapital Keskonnahariduse
arhitektuurikonkurss</t>
  </si>
  <si>
    <t>II Muusikakool (Kaunase pst 23) tuletõkkeuksed</t>
  </si>
  <si>
    <t>II Muusikakool (Kaunase pst 23) õppepilli
soetus</t>
  </si>
  <si>
    <t xml:space="preserve">   Laste huvialamajad ja keskused</t>
  </si>
  <si>
    <t xml:space="preserve">Anne Noortekeskuse uue hoone rajamise arhitektuurikonkurss
</t>
  </si>
  <si>
    <t xml:space="preserve">Anne Noortekeskuse (uus 56) inventari soetus
</t>
  </si>
  <si>
    <t xml:space="preserve">   Täiskasvanute huvialaasutused</t>
  </si>
  <si>
    <t xml:space="preserve">Tartu Rahvaülikooli Kunstikeskus (Vaksali 7) </t>
  </si>
  <si>
    <t xml:space="preserve">   Raamatukogud</t>
  </si>
  <si>
    <t>O. Lutsu nim. Linnaraamatukogu (Kompanii 3/5) 
renoveerimine</t>
  </si>
  <si>
    <t>Tartu Linnaraamatukogu mikrobussi liising</t>
  </si>
  <si>
    <t>Tartu Linnaraamatukogu arhitektuurikonkurss</t>
  </si>
  <si>
    <t xml:space="preserve">   Kultuuri-ja rahvamajad</t>
  </si>
  <si>
    <t xml:space="preserve">Tiigi Seltsimaja (Tiigi 11) remont </t>
  </si>
  <si>
    <t xml:space="preserve">MTÜ Genialistide Klubi ruumide vastavusse viimine
tuleohutusnõuetega  </t>
  </si>
  <si>
    <t xml:space="preserve">   Muuseumid</t>
  </si>
  <si>
    <t>Mänguasjamuuseumi Teatrimaja (Lutsu 2)</t>
  </si>
  <si>
    <t>Mänguasjamuuseumi (Lutsu 4) vundamendi tugevdus</t>
  </si>
  <si>
    <t>Linnamuuseumi uue püsinäituse eskiisprojekt</t>
  </si>
  <si>
    <t xml:space="preserve">   Muinsuskaitse</t>
  </si>
  <si>
    <t>Restaureerimistoetused</t>
  </si>
  <si>
    <t>SA Tartu Pauluse Kirik renoveerimise toetamine</t>
  </si>
  <si>
    <t>SA Jaani Kirik faktooringlepingu tasumise toetamine</t>
  </si>
  <si>
    <t>Rooma Katoliku Kiriku Koguduse  katuse renoveerimine</t>
  </si>
  <si>
    <t xml:space="preserve">   Kultuuriüritused (monumendid)</t>
  </si>
  <si>
    <t>Tartu Rahu monument</t>
  </si>
  <si>
    <t>MTÜ Tartu Üliõpilasmaja Eesti muusiku skulptuuri püstitamine</t>
  </si>
  <si>
    <t xml:space="preserve">   Seltsitegevus </t>
  </si>
  <si>
    <t>Kultuurikollektiividele esinemisriiete soetus</t>
  </si>
  <si>
    <t xml:space="preserve">   Botaanikaaed</t>
  </si>
  <si>
    <t>Botaanikaaia külastajate paremaks teenindamiseks
mõeldud objektide väljaehitamine</t>
  </si>
  <si>
    <t xml:space="preserve">   Muu vaba aeg ja kultuur</t>
  </si>
  <si>
    <t xml:space="preserve">Loomemajanduse keskus Kalevi 13, 15,17 </t>
  </si>
  <si>
    <t>HARIDUS</t>
  </si>
  <si>
    <t xml:space="preserve">   Lasteaiad</t>
  </si>
  <si>
    <t xml:space="preserve">LA Sipsik (Kaunase pst 22)  rajamine </t>
  </si>
  <si>
    <t xml:space="preserve">LA Klaabu  (Kummeli 5) rajamine </t>
  </si>
  <si>
    <t>LA Annike (Anne 9) uue rühmakompleksi ruumid</t>
  </si>
  <si>
    <t xml:space="preserve">LA Maarjamõisa (Puusepa 10) uste, akende vahetus </t>
  </si>
  <si>
    <t xml:space="preserve">LA Poku (Anne 69) uue rühmakompleksi avamine </t>
  </si>
  <si>
    <t>LA Helika (Kalevi 52a)  katus</t>
  </si>
  <si>
    <t>LA Triinu ja Taavi (Kaunase pst 67) akende vahetus</t>
  </si>
  <si>
    <t>Kesklinna Lastekeskus (Akadeemia 2) õueala vertikaalplaneering, sadevete ärajuhtimine, teekatte ehitus, vundamendi hüdroisolatsioon, katus</t>
  </si>
  <si>
    <t>LA Karoliine (Kesk 6) juurdeehitus ja vana hoone 
rekonstrueerimine</t>
  </si>
  <si>
    <t>Lasteaia (Pepleri 1) projekteerimine</t>
  </si>
  <si>
    <t>Tartu Erahariduse Edendamise Selts
(uute lasteaiakohtade loomine)</t>
  </si>
  <si>
    <t>MTÜ Agathe lasteaiakohtade loomine</t>
  </si>
  <si>
    <t xml:space="preserve">   Erivajadustega laste koolid</t>
  </si>
  <si>
    <t xml:space="preserve">Maarja Kooli juurdeehitus </t>
  </si>
  <si>
    <t xml:space="preserve">   Gümnaasiumid</t>
  </si>
  <si>
    <t>Descartesi Lütsem (Anne 65) võimla, tööõpetuse klasside renoveerimine</t>
  </si>
  <si>
    <t>Forseliuse Gümnaasium (Tähe 103) vee-kanalisatsiooni ning küttesüsteemide osaline rekonstrueerimine</t>
  </si>
  <si>
    <t xml:space="preserve">Kivilinna Gümnaasium (Kaunase pst 71) vana maja akende vahetus </t>
  </si>
  <si>
    <t>Miina Härma Gümnaasium (Tõnissoni 3) piirdeaed</t>
  </si>
  <si>
    <t>Tamme Gümnaaasiumi spordiplats</t>
  </si>
  <si>
    <t xml:space="preserve">Vene Lütseum (Uus 54) renoveerimise III etapp </t>
  </si>
  <si>
    <t xml:space="preserve">   Kutsehariduskeskus</t>
  </si>
  <si>
    <t>Õpilaskodu (Kopli 1) renoveerimine
ning autoerialade õppetöökoja rajamine</t>
  </si>
  <si>
    <t xml:space="preserve">   Kõrgharidus</t>
  </si>
  <si>
    <t xml:space="preserve">Tartu Ülikooli ühiselamute renoveerimise projekti kaasfinantseerimine </t>
  </si>
  <si>
    <t xml:space="preserve">Tartu Maaülikooli ühiselamute renoveerimise projekti kaasfinantseerimine </t>
  </si>
  <si>
    <t xml:space="preserve">   Muu haridus </t>
  </si>
  <si>
    <t>Ettekirjutiste täitmine</t>
  </si>
  <si>
    <t>Avariide likvideerimine</t>
  </si>
  <si>
    <t>SOTSIAALNE KAITSE</t>
  </si>
  <si>
    <t xml:space="preserve">   Eakate sotsiaalhoolekande asutused</t>
  </si>
  <si>
    <t>Tartu Hooldekodu (Liiva 32) vana hoone rekonstrueerimine</t>
  </si>
  <si>
    <t>Hooldekodu (Liiva 32) inventar</t>
  </si>
  <si>
    <t xml:space="preserve">   Riskirühmade sotsiaalhoolekande asutused</t>
  </si>
  <si>
    <t>Varjupaiga (Lubja 7) renoveerimine</t>
  </si>
  <si>
    <t>Sotsiaalmajutusüksuse (Lubja 7) rajamine</t>
  </si>
  <si>
    <t>Rehabilitatsioonikeskuse (Jaamamõisa38) renoveerimine</t>
  </si>
  <si>
    <r>
      <t xml:space="preserve">Tartu linna 2009. a  investeeringute täitmine 
valdkondade  lõikes </t>
    </r>
    <r>
      <rPr>
        <b/>
        <sz val="10"/>
        <color indexed="14"/>
        <rFont val="Arial"/>
        <family val="2"/>
      </rPr>
      <t xml:space="preserve"> </t>
    </r>
  </si>
  <si>
    <t>Täitm.%
lõplikust
eelarvest</t>
  </si>
  <si>
    <t>TARTU LINNA EELARVE TÄITMINE (tuh krooni)</t>
  </si>
  <si>
    <t>seisuga 31. detsember 2009</t>
  </si>
  <si>
    <t>Eelarve</t>
  </si>
  <si>
    <t>%</t>
  </si>
  <si>
    <t>TULUD KOKKU</t>
  </si>
  <si>
    <t>Maksud</t>
  </si>
  <si>
    <t>Füüsilise isiku tulumaks</t>
  </si>
  <si>
    <t>Maamaks</t>
  </si>
  <si>
    <t>Reklaamimaks</t>
  </si>
  <si>
    <t>Teede ja tänavate sulgemise maks</t>
  </si>
  <si>
    <t>Parkimistasu</t>
  </si>
  <si>
    <t>Kaupade ja teenuste müük</t>
  </si>
  <si>
    <t>Riigilõivud</t>
  </si>
  <si>
    <t>Laekumised majandustegevusest</t>
  </si>
  <si>
    <t>Üür ja rent</t>
  </si>
  <si>
    <t>Õiguste müük</t>
  </si>
  <si>
    <t>Muu toodete ja teenuste müük</t>
  </si>
  <si>
    <t>Saadud toetused</t>
  </si>
  <si>
    <t>Sihtfinantseerimine jooksvateks kuludeks</t>
  </si>
  <si>
    <t>Sihtfinantseerimine põhivara soetuseks</t>
  </si>
  <si>
    <t>Mittesihtotstarbeline finantseerimine</t>
  </si>
  <si>
    <t>Tulud varadelt</t>
  </si>
  <si>
    <t>Intressi- ja viivisetulud</t>
  </si>
  <si>
    <t>Dividendid</t>
  </si>
  <si>
    <t>Tasu vee erikasutusest</t>
  </si>
  <si>
    <t>Materiaalsete varade müük</t>
  </si>
  <si>
    <t>Maa müük</t>
  </si>
  <si>
    <t>Muud tulud</t>
  </si>
  <si>
    <t>Trahvid</t>
  </si>
  <si>
    <t>Saastetasud</t>
  </si>
  <si>
    <t>Eespool nimetamata muud tulud</t>
  </si>
  <si>
    <t>TEGEVUSKULUD</t>
  </si>
  <si>
    <t>Üldvalitsemine</t>
  </si>
  <si>
    <t>Avalik kord</t>
  </si>
  <si>
    <t>Majandus</t>
  </si>
  <si>
    <t>Keskkonnakaitse</t>
  </si>
  <si>
    <t>Elamu- ja kommunaalmajandus</t>
  </si>
  <si>
    <t>Tervishoid</t>
  </si>
  <si>
    <t>Vaba-aeg, kultuur</t>
  </si>
  <si>
    <t>Haridus</t>
  </si>
  <si>
    <t>Sotsiaalne kaitse</t>
  </si>
  <si>
    <t>INVESTEERINGUD</t>
  </si>
  <si>
    <t>FINANTSEERIMISTEHINGUD</t>
  </si>
  <si>
    <t>Finantsvarade suurenemine</t>
  </si>
  <si>
    <t>x</t>
  </si>
  <si>
    <t>Finantsvarade vähenemine</t>
  </si>
  <si>
    <t>Kohustuste suurenemine</t>
  </si>
  <si>
    <t>Kohustuste vähenemine</t>
  </si>
  <si>
    <t>Muutus kassas ja hoiustes</t>
  </si>
  <si>
    <t>EELARVE KOGUMAHT</t>
  </si>
  <si>
    <t>LA Midrimaa (Vanemuise 28) keldriruumide remont</t>
  </si>
  <si>
    <t>ettekirjutused</t>
  </si>
  <si>
    <t xml:space="preserve">   Põhikoolid (projekteerimine)</t>
  </si>
  <si>
    <t>SA Tartu Sport toetamine treeningvahendite soetamiseks</t>
  </si>
  <si>
    <t>tuh krooni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</si>
</sst>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165" fontId="10" fillId="0" borderId="6" xfId="1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165" fontId="10" fillId="0" borderId="0" xfId="19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right" vertical="center"/>
    </xf>
    <xf numFmtId="165" fontId="11" fillId="0" borderId="0" xfId="1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5" fontId="11" fillId="0" borderId="7" xfId="19" applyNumberFormat="1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C43" activeCellId="1" sqref="C32 C43"/>
    </sheetView>
  </sheetViews>
  <sheetFormatPr defaultColWidth="9.140625" defaultRowHeight="12.75"/>
  <cols>
    <col min="1" max="1" width="38.7109375" style="0" customWidth="1"/>
    <col min="2" max="2" width="12.8515625" style="0" customWidth="1"/>
    <col min="3" max="3" width="12.00390625" style="0" customWidth="1"/>
    <col min="5" max="5" width="12.28125" style="0" customWidth="1"/>
    <col min="6" max="6" width="10.7109375" style="0" bestFit="1" customWidth="1"/>
    <col min="8" max="8" width="11.8515625" style="0" customWidth="1"/>
  </cols>
  <sheetData>
    <row r="1" spans="1:4" ht="15.75">
      <c r="A1" s="101" t="s">
        <v>207</v>
      </c>
      <c r="B1" s="102"/>
      <c r="C1" s="102"/>
      <c r="D1" s="102"/>
    </row>
    <row r="2" spans="1:4" ht="15.75">
      <c r="A2" s="102" t="s">
        <v>208</v>
      </c>
      <c r="B2" s="102"/>
      <c r="C2" s="102"/>
      <c r="D2" s="102"/>
    </row>
    <row r="3" spans="1:4" ht="15.75">
      <c r="A3" s="103"/>
      <c r="B3" s="104" t="s">
        <v>209</v>
      </c>
      <c r="C3" s="104" t="s">
        <v>2</v>
      </c>
      <c r="D3" s="104" t="s">
        <v>210</v>
      </c>
    </row>
    <row r="4" spans="1:4" ht="15.75">
      <c r="A4" s="105" t="s">
        <v>211</v>
      </c>
      <c r="B4" s="106">
        <v>1501441.3190000001</v>
      </c>
      <c r="C4" s="106">
        <v>1484908.77836</v>
      </c>
      <c r="D4" s="107">
        <v>0.9889888865913113</v>
      </c>
    </row>
    <row r="5" spans="1:4" ht="15.75">
      <c r="A5" s="108" t="s">
        <v>212</v>
      </c>
      <c r="B5" s="109">
        <v>803055</v>
      </c>
      <c r="C5" s="109">
        <v>792672.94494</v>
      </c>
      <c r="D5" s="110">
        <v>0.9870718007359396</v>
      </c>
    </row>
    <row r="6" spans="1:4" ht="15.75">
      <c r="A6" s="111" t="s">
        <v>213</v>
      </c>
      <c r="B6" s="112">
        <v>775055</v>
      </c>
      <c r="C6" s="112">
        <v>765875.357</v>
      </c>
      <c r="D6" s="113">
        <v>0.9881561398868467</v>
      </c>
    </row>
    <row r="7" spans="1:4" ht="15.75">
      <c r="A7" s="111" t="s">
        <v>214</v>
      </c>
      <c r="B7" s="112">
        <v>14700</v>
      </c>
      <c r="C7" s="112">
        <v>15181.741</v>
      </c>
      <c r="D7" s="113">
        <v>1.0327714965986394</v>
      </c>
    </row>
    <row r="8" spans="1:4" ht="15.75">
      <c r="A8" s="111" t="s">
        <v>215</v>
      </c>
      <c r="B8" s="112">
        <v>4100</v>
      </c>
      <c r="C8" s="112">
        <v>4208.977</v>
      </c>
      <c r="D8" s="113">
        <v>1.026579756097561</v>
      </c>
    </row>
    <row r="9" spans="1:4" ht="15.75">
      <c r="A9" s="111" t="s">
        <v>216</v>
      </c>
      <c r="B9" s="112">
        <v>2100</v>
      </c>
      <c r="C9" s="112">
        <v>1787.3065</v>
      </c>
      <c r="D9" s="113">
        <v>0.8510983333333333</v>
      </c>
    </row>
    <row r="10" spans="1:4" ht="15.75">
      <c r="A10" s="111" t="s">
        <v>217</v>
      </c>
      <c r="B10" s="112">
        <v>7100</v>
      </c>
      <c r="C10" s="112">
        <v>5619.563440000001</v>
      </c>
      <c r="D10" s="113">
        <v>0.7914878084507043</v>
      </c>
    </row>
    <row r="11" spans="1:4" ht="15.75">
      <c r="A11" s="108" t="s">
        <v>218</v>
      </c>
      <c r="B11" s="109">
        <v>119385.088</v>
      </c>
      <c r="C11" s="109">
        <v>129206.46502</v>
      </c>
      <c r="D11" s="110">
        <v>1.0822663632831597</v>
      </c>
    </row>
    <row r="12" spans="1:4" ht="15.75">
      <c r="A12" s="111" t="s">
        <v>219</v>
      </c>
      <c r="B12" s="112">
        <v>1700</v>
      </c>
      <c r="C12" s="112">
        <v>1708.89975</v>
      </c>
      <c r="D12" s="113">
        <v>1.0052351470588237</v>
      </c>
    </row>
    <row r="13" spans="1:4" ht="15.75">
      <c r="A13" s="111" t="s">
        <v>220</v>
      </c>
      <c r="B13" s="112">
        <v>87784</v>
      </c>
      <c r="C13" s="112">
        <v>94099.02911</v>
      </c>
      <c r="D13" s="113">
        <v>1.0719382701859108</v>
      </c>
    </row>
    <row r="14" spans="1:4" ht="15.75">
      <c r="A14" s="111" t="s">
        <v>221</v>
      </c>
      <c r="B14" s="112">
        <v>27310.488</v>
      </c>
      <c r="C14" s="112">
        <v>30530.850520000004</v>
      </c>
      <c r="D14" s="113">
        <v>1.1179166963256022</v>
      </c>
    </row>
    <row r="15" spans="1:4" ht="15.75">
      <c r="A15" s="111" t="s">
        <v>222</v>
      </c>
      <c r="B15" s="112">
        <v>983</v>
      </c>
      <c r="C15" s="112">
        <v>980.84126</v>
      </c>
      <c r="D15" s="113">
        <v>0.9978039267548322</v>
      </c>
    </row>
    <row r="16" spans="1:4" ht="15.75">
      <c r="A16" s="111" t="s">
        <v>223</v>
      </c>
      <c r="B16" s="112">
        <v>1607.6</v>
      </c>
      <c r="C16" s="112">
        <v>1886.84438</v>
      </c>
      <c r="D16" s="113">
        <v>1.1737026499129137</v>
      </c>
    </row>
    <row r="17" spans="1:4" ht="15.75">
      <c r="A17" s="108" t="s">
        <v>224</v>
      </c>
      <c r="B17" s="109">
        <v>561360.137</v>
      </c>
      <c r="C17" s="109">
        <v>541355.04492</v>
      </c>
      <c r="D17" s="110">
        <v>0.9643631765751832</v>
      </c>
    </row>
    <row r="18" spans="1:4" ht="15.75">
      <c r="A18" s="111" t="s">
        <v>225</v>
      </c>
      <c r="B18" s="112">
        <v>139050.596</v>
      </c>
      <c r="C18" s="112">
        <v>139123.24156999995</v>
      </c>
      <c r="D18" s="113">
        <v>1.000522439831901</v>
      </c>
    </row>
    <row r="19" spans="1:4" ht="15.75">
      <c r="A19" s="111" t="s">
        <v>226</v>
      </c>
      <c r="B19" s="112">
        <v>122637.743</v>
      </c>
      <c r="C19" s="112">
        <v>102559.93675</v>
      </c>
      <c r="D19" s="113">
        <v>0.8362836288498884</v>
      </c>
    </row>
    <row r="20" spans="1:4" ht="15.75">
      <c r="A20" s="111" t="s">
        <v>227</v>
      </c>
      <c r="B20" s="112">
        <v>299671.798</v>
      </c>
      <c r="C20" s="112">
        <v>299671.8666</v>
      </c>
      <c r="D20" s="113">
        <v>1.0000002289171035</v>
      </c>
    </row>
    <row r="21" spans="1:4" ht="15.75">
      <c r="A21" s="108" t="s">
        <v>228</v>
      </c>
      <c r="B21" s="109">
        <v>9914</v>
      </c>
      <c r="C21" s="109">
        <v>11378.120099999998</v>
      </c>
      <c r="D21" s="110">
        <v>1.1476820758523298</v>
      </c>
    </row>
    <row r="22" spans="1:4" ht="15.75">
      <c r="A22" s="111" t="s">
        <v>229</v>
      </c>
      <c r="B22" s="112">
        <v>3451</v>
      </c>
      <c r="C22" s="112">
        <v>3285.07934</v>
      </c>
      <c r="D22" s="113">
        <v>0.9519209910170964</v>
      </c>
    </row>
    <row r="23" spans="1:4" ht="15.75">
      <c r="A23" s="111" t="s">
        <v>230</v>
      </c>
      <c r="B23" s="112">
        <v>500</v>
      </c>
      <c r="C23" s="112">
        <v>599.3378299999999</v>
      </c>
      <c r="D23" s="113">
        <v>1.19867566</v>
      </c>
    </row>
    <row r="24" spans="1:4" ht="15.75">
      <c r="A24" s="111" t="s">
        <v>231</v>
      </c>
      <c r="B24" s="112">
        <v>1850</v>
      </c>
      <c r="C24" s="112">
        <v>1732.795</v>
      </c>
      <c r="D24" s="113">
        <v>0.936645945945946</v>
      </c>
    </row>
    <row r="25" spans="1:4" ht="15.75">
      <c r="A25" s="111" t="s">
        <v>232</v>
      </c>
      <c r="B25" s="112">
        <v>4013</v>
      </c>
      <c r="C25" s="112">
        <v>5673.86593</v>
      </c>
      <c r="D25" s="113">
        <v>1.4138714004485422</v>
      </c>
    </row>
    <row r="26" spans="1:4" ht="15.75">
      <c r="A26" s="111" t="s">
        <v>233</v>
      </c>
      <c r="B26" s="112">
        <v>100</v>
      </c>
      <c r="C26" s="112">
        <v>87.042</v>
      </c>
      <c r="D26" s="113">
        <v>0.87042</v>
      </c>
    </row>
    <row r="27" spans="1:4" ht="15.75">
      <c r="A27" s="108" t="s">
        <v>234</v>
      </c>
      <c r="B27" s="109">
        <v>7727.094</v>
      </c>
      <c r="C27" s="109">
        <v>10296.20338</v>
      </c>
      <c r="D27" s="110">
        <v>1.3324806686705248</v>
      </c>
    </row>
    <row r="28" spans="1:4" ht="15.75">
      <c r="A28" s="111" t="s">
        <v>235</v>
      </c>
      <c r="B28" s="112">
        <v>5670</v>
      </c>
      <c r="C28" s="112">
        <v>6441.875980000001</v>
      </c>
      <c r="D28" s="113">
        <v>1.1361333298059966</v>
      </c>
    </row>
    <row r="29" spans="1:4" ht="15.75">
      <c r="A29" s="111" t="s">
        <v>236</v>
      </c>
      <c r="B29" s="112">
        <v>1760</v>
      </c>
      <c r="C29" s="112">
        <v>3304.141</v>
      </c>
      <c r="D29" s="113">
        <v>1.877352840909091</v>
      </c>
    </row>
    <row r="30" spans="1:4" ht="15.75">
      <c r="A30" s="111" t="s">
        <v>237</v>
      </c>
      <c r="B30" s="112">
        <v>297.094</v>
      </c>
      <c r="C30" s="112">
        <v>550.1864</v>
      </c>
      <c r="D30" s="113">
        <v>1.851893340154968</v>
      </c>
    </row>
    <row r="31" spans="1:4" ht="15.75">
      <c r="A31" s="111"/>
      <c r="B31" s="114"/>
      <c r="C31" s="114"/>
      <c r="D31" s="114"/>
    </row>
    <row r="32" spans="1:4" ht="15.75">
      <c r="A32" s="105" t="s">
        <v>238</v>
      </c>
      <c r="B32" s="106">
        <f>SUM(B33:B41)</f>
        <v>1266955.321</v>
      </c>
      <c r="C32" s="106">
        <f>SUM(C33:C41)</f>
        <v>1233685.33037</v>
      </c>
      <c r="D32" s="107">
        <f>C32/B32</f>
        <v>0.9737402021377202</v>
      </c>
    </row>
    <row r="33" spans="1:4" ht="15.75">
      <c r="A33" s="111" t="s">
        <v>239</v>
      </c>
      <c r="B33" s="112">
        <f>162947.2+2.6</f>
        <v>162949.80000000002</v>
      </c>
      <c r="C33" s="112">
        <v>155535.06303000002</v>
      </c>
      <c r="D33" s="116">
        <f aca="true" t="shared" si="0" ref="D33:D52">C33/B33</f>
        <v>0.9544968022667104</v>
      </c>
    </row>
    <row r="34" spans="1:4" ht="15.75">
      <c r="A34" s="111" t="s">
        <v>240</v>
      </c>
      <c r="B34" s="112">
        <v>4342.66</v>
      </c>
      <c r="C34" s="112">
        <v>4265.52118</v>
      </c>
      <c r="D34" s="113">
        <f t="shared" si="0"/>
        <v>0.9822369653622434</v>
      </c>
    </row>
    <row r="35" spans="1:4" ht="15.75">
      <c r="A35" s="111" t="s">
        <v>241</v>
      </c>
      <c r="B35" s="112">
        <v>83813.37</v>
      </c>
      <c r="C35" s="112">
        <v>81913.32109000001</v>
      </c>
      <c r="D35" s="113">
        <f t="shared" si="0"/>
        <v>0.9773300022418859</v>
      </c>
    </row>
    <row r="36" spans="1:4" ht="15.75">
      <c r="A36" s="111" t="s">
        <v>242</v>
      </c>
      <c r="B36" s="112">
        <v>53378.421</v>
      </c>
      <c r="C36" s="112">
        <v>51704.38391000001</v>
      </c>
      <c r="D36" s="113">
        <f t="shared" si="0"/>
        <v>0.9686383175328473</v>
      </c>
    </row>
    <row r="37" spans="1:4" ht="15.75">
      <c r="A37" s="111" t="s">
        <v>243</v>
      </c>
      <c r="B37" s="112">
        <v>20989.385</v>
      </c>
      <c r="C37" s="112">
        <v>21054.43493</v>
      </c>
      <c r="D37" s="113">
        <f t="shared" si="0"/>
        <v>1.003099182277137</v>
      </c>
    </row>
    <row r="38" spans="1:4" ht="15.75">
      <c r="A38" s="111" t="s">
        <v>244</v>
      </c>
      <c r="B38" s="112">
        <v>6273.197</v>
      </c>
      <c r="C38" s="112">
        <v>6163.84604</v>
      </c>
      <c r="D38" s="113">
        <f t="shared" si="0"/>
        <v>0.9825685435990612</v>
      </c>
    </row>
    <row r="39" spans="1:4" ht="15.75">
      <c r="A39" s="111" t="s">
        <v>245</v>
      </c>
      <c r="B39" s="112">
        <v>117725.7</v>
      </c>
      <c r="C39" s="112">
        <f>114850.00349-126.6</f>
        <v>114723.40349</v>
      </c>
      <c r="D39" s="113">
        <f t="shared" si="0"/>
        <v>0.9744975267932151</v>
      </c>
    </row>
    <row r="40" spans="1:4" ht="15.75">
      <c r="A40" s="111" t="s">
        <v>246</v>
      </c>
      <c r="B40" s="112">
        <v>711761.5</v>
      </c>
      <c r="C40" s="112">
        <v>695165.9340199999</v>
      </c>
      <c r="D40" s="113">
        <f t="shared" si="0"/>
        <v>0.9766838105460888</v>
      </c>
    </row>
    <row r="41" spans="1:4" ht="15.75">
      <c r="A41" s="111" t="s">
        <v>247</v>
      </c>
      <c r="B41" s="112">
        <v>105721.288</v>
      </c>
      <c r="C41" s="112">
        <v>103159.42268</v>
      </c>
      <c r="D41" s="113">
        <f t="shared" si="0"/>
        <v>0.9757677439571111</v>
      </c>
    </row>
    <row r="42" spans="1:4" ht="15.75">
      <c r="A42" s="111"/>
      <c r="B42" s="114"/>
      <c r="C42" s="114"/>
      <c r="D42" s="113"/>
    </row>
    <row r="43" spans="1:4" ht="15.75">
      <c r="A43" s="105" t="s">
        <v>248</v>
      </c>
      <c r="B43" s="106">
        <f>SUM(B44:B50)</f>
        <v>282413.262</v>
      </c>
      <c r="C43" s="106">
        <f>SUM(C44:C50)</f>
        <v>266131.3743000001</v>
      </c>
      <c r="D43" s="107">
        <f t="shared" si="0"/>
        <v>0.9423472977696072</v>
      </c>
    </row>
    <row r="44" spans="1:4" ht="15.75">
      <c r="A44" s="111" t="s">
        <v>239</v>
      </c>
      <c r="B44" s="112">
        <f>323.5</f>
        <v>323.5</v>
      </c>
      <c r="C44" s="112">
        <v>323.82082</v>
      </c>
      <c r="D44" s="116">
        <f t="shared" si="0"/>
        <v>1.0009917156105101</v>
      </c>
    </row>
    <row r="45" spans="1:4" ht="15.75">
      <c r="A45" s="111" t="s">
        <v>241</v>
      </c>
      <c r="B45" s="112">
        <v>80172.062</v>
      </c>
      <c r="C45" s="112">
        <v>63820.95723000001</v>
      </c>
      <c r="D45" s="113">
        <f t="shared" si="0"/>
        <v>0.7960498412776261</v>
      </c>
    </row>
    <row r="46" spans="1:4" ht="15.75">
      <c r="A46" s="111" t="s">
        <v>242</v>
      </c>
      <c r="B46" s="112">
        <v>2810</v>
      </c>
      <c r="C46" s="112">
        <v>2712.8104</v>
      </c>
      <c r="D46" s="113">
        <f t="shared" si="0"/>
        <v>0.9654129537366547</v>
      </c>
    </row>
    <row r="47" spans="1:4" ht="15.75">
      <c r="A47" s="111" t="s">
        <v>243</v>
      </c>
      <c r="B47" s="112">
        <v>8986.7</v>
      </c>
      <c r="C47" s="112">
        <v>8551.03092</v>
      </c>
      <c r="D47" s="113">
        <f t="shared" si="0"/>
        <v>0.9515206827867847</v>
      </c>
    </row>
    <row r="48" spans="1:4" ht="15.75">
      <c r="A48" s="111" t="s">
        <v>245</v>
      </c>
      <c r="B48" s="112">
        <v>37011.7</v>
      </c>
      <c r="C48" s="112">
        <f>36611.9525+63.9+78-15.3</f>
        <v>36738.5525</v>
      </c>
      <c r="D48" s="113">
        <f t="shared" si="0"/>
        <v>0.9926199688206703</v>
      </c>
    </row>
    <row r="49" spans="1:4" ht="15.75">
      <c r="A49" s="111" t="s">
        <v>246</v>
      </c>
      <c r="B49" s="112">
        <v>134715.2</v>
      </c>
      <c r="C49" s="112">
        <v>135610.94690000004</v>
      </c>
      <c r="D49" s="113">
        <f t="shared" si="0"/>
        <v>1.006649189549509</v>
      </c>
    </row>
    <row r="50" spans="1:4" ht="15.75">
      <c r="A50" s="111" t="s">
        <v>247</v>
      </c>
      <c r="B50" s="112">
        <v>18394.1</v>
      </c>
      <c r="C50" s="112">
        <v>18373.255530000002</v>
      </c>
      <c r="D50" s="113">
        <f t="shared" si="0"/>
        <v>0.9988667850017127</v>
      </c>
    </row>
    <row r="51" spans="1:4" ht="15.75">
      <c r="A51" s="111"/>
      <c r="B51" s="114"/>
      <c r="C51" s="114"/>
      <c r="D51" s="113"/>
    </row>
    <row r="52" spans="1:4" ht="15.75">
      <c r="A52" s="105" t="s">
        <v>249</v>
      </c>
      <c r="B52" s="106">
        <v>47927.221999999994</v>
      </c>
      <c r="C52" s="106">
        <v>14907.926310000144</v>
      </c>
      <c r="D52" s="107">
        <f t="shared" si="0"/>
        <v>0.31105341991238605</v>
      </c>
    </row>
    <row r="53" spans="1:4" ht="15.75">
      <c r="A53" s="111" t="s">
        <v>250</v>
      </c>
      <c r="B53" s="115">
        <v>0</v>
      </c>
      <c r="C53" s="115">
        <v>0</v>
      </c>
      <c r="D53" s="113" t="s">
        <v>251</v>
      </c>
    </row>
    <row r="54" spans="1:4" ht="15.75">
      <c r="A54" s="111" t="s">
        <v>252</v>
      </c>
      <c r="B54" s="115">
        <v>0</v>
      </c>
      <c r="C54" s="115">
        <v>39.361</v>
      </c>
      <c r="D54" s="113" t="s">
        <v>251</v>
      </c>
    </row>
    <row r="55" spans="1:4" ht="15.75">
      <c r="A55" s="111" t="s">
        <v>253</v>
      </c>
      <c r="B55" s="115">
        <v>73435</v>
      </c>
      <c r="C55" s="115">
        <v>73434.18778000001</v>
      </c>
      <c r="D55" s="113">
        <v>0.9999889396064547</v>
      </c>
    </row>
    <row r="56" spans="1:6" ht="15.75">
      <c r="A56" s="111" t="s">
        <v>254</v>
      </c>
      <c r="B56" s="115">
        <v>-51908.8</v>
      </c>
      <c r="C56" s="115">
        <v>-51716.71217</v>
      </c>
      <c r="D56" s="113">
        <v>0.9962995131846623</v>
      </c>
      <c r="E56" s="99"/>
      <c r="F56" s="99"/>
    </row>
    <row r="57" spans="1:4" ht="15.75">
      <c r="A57" s="111" t="s">
        <v>255</v>
      </c>
      <c r="B57" s="115">
        <v>26401.022</v>
      </c>
      <c r="C57" s="115">
        <v>-6848.910299999869</v>
      </c>
      <c r="D57" s="113">
        <v>-0.2594183778188537</v>
      </c>
    </row>
    <row r="58" spans="1:4" ht="15.75">
      <c r="A58" s="111"/>
      <c r="B58" s="114"/>
      <c r="C58" s="114"/>
      <c r="D58" s="114"/>
    </row>
    <row r="59" spans="1:6" ht="15.75">
      <c r="A59" s="108" t="s">
        <v>256</v>
      </c>
      <c r="B59" s="109">
        <v>1601277.3410000002</v>
      </c>
      <c r="C59" s="109">
        <v>1551533.4168400003</v>
      </c>
      <c r="D59" s="110">
        <v>0.9689348478952842</v>
      </c>
      <c r="F59" s="9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7"/>
  <sheetViews>
    <sheetView workbookViewId="0" topLeftCell="A1">
      <selection activeCell="E6" sqref="E6"/>
    </sheetView>
  </sheetViews>
  <sheetFormatPr defaultColWidth="9.140625" defaultRowHeight="12.75"/>
  <cols>
    <col min="1" max="1" width="40.28125" style="0" customWidth="1"/>
    <col min="2" max="4" width="9.57421875" style="99" customWidth="1"/>
    <col min="5" max="5" width="8.421875" style="2" customWidth="1"/>
  </cols>
  <sheetData>
    <row r="2" spans="1:5" ht="27" customHeight="1">
      <c r="A2" s="119" t="s">
        <v>205</v>
      </c>
      <c r="B2" s="119"/>
      <c r="C2" s="119"/>
      <c r="D2" s="119"/>
      <c r="E2" s="119"/>
    </row>
    <row r="3" spans="1:5" ht="12.75">
      <c r="A3" s="7"/>
      <c r="B3" s="8"/>
      <c r="C3" s="9"/>
      <c r="D3" s="10" t="s">
        <v>261</v>
      </c>
      <c r="E3" s="90"/>
    </row>
    <row r="4" spans="1:5" ht="33.75">
      <c r="A4" s="3"/>
      <c r="B4" s="11" t="s">
        <v>0</v>
      </c>
      <c r="C4" s="11" t="s">
        <v>1</v>
      </c>
      <c r="D4" s="12" t="s">
        <v>2</v>
      </c>
      <c r="E4" s="13" t="s">
        <v>206</v>
      </c>
    </row>
    <row r="5" spans="1:5" ht="12.75">
      <c r="A5" s="14" t="s">
        <v>3</v>
      </c>
      <c r="B5" s="100">
        <f>SUM(B6,B9,B93,B102,B115,B169,B208)</f>
        <v>372536</v>
      </c>
      <c r="C5" s="100">
        <f>SUM(C6,C9,C93,C102,C115,C169,C208)</f>
        <v>282413</v>
      </c>
      <c r="D5" s="100">
        <f>SUM(D6,D9,D93,D102,D115,D169,D208)</f>
        <v>266130.95</v>
      </c>
      <c r="E5" s="15">
        <f aca="true" t="shared" si="0" ref="E5:E12">ROUND(D5/C5*100,1)</f>
        <v>94.2</v>
      </c>
    </row>
    <row r="6" spans="1:5" ht="24" customHeight="1">
      <c r="A6" s="16" t="s">
        <v>4</v>
      </c>
      <c r="B6" s="17">
        <f>SUM(B7:B8)</f>
        <v>230</v>
      </c>
      <c r="C6" s="17">
        <f>SUM(C7:C8)</f>
        <v>323</v>
      </c>
      <c r="D6" s="17">
        <f>SUM(D7:D8)</f>
        <v>323</v>
      </c>
      <c r="E6" s="18">
        <f t="shared" si="0"/>
        <v>100</v>
      </c>
    </row>
    <row r="7" spans="1:5" ht="12.75">
      <c r="A7" s="3" t="s">
        <v>5</v>
      </c>
      <c r="B7" s="19">
        <v>230</v>
      </c>
      <c r="C7" s="19">
        <v>230</v>
      </c>
      <c r="D7" s="19">
        <f>ROUND(229686.92/1000,0)</f>
        <v>230</v>
      </c>
      <c r="E7" s="4">
        <f t="shared" si="0"/>
        <v>100</v>
      </c>
    </row>
    <row r="8" spans="1:5" ht="12.75">
      <c r="A8" s="20" t="s">
        <v>6</v>
      </c>
      <c r="B8" s="21"/>
      <c r="C8" s="22">
        <v>93</v>
      </c>
      <c r="D8" s="22">
        <v>93</v>
      </c>
      <c r="E8" s="4">
        <f t="shared" si="0"/>
        <v>100</v>
      </c>
    </row>
    <row r="9" spans="1:5" ht="12.75">
      <c r="A9" s="23" t="s">
        <v>7</v>
      </c>
      <c r="B9" s="24">
        <f>SUM(B10,B11,B79,B81,B83,B85,B77)</f>
        <v>95294</v>
      </c>
      <c r="C9" s="24">
        <f>SUM(C10,C11,C79,C81,C83,C85)</f>
        <v>80172</v>
      </c>
      <c r="D9" s="24">
        <f>SUM(D10,D11,D79,D81,D83,D85)</f>
        <v>63820.95</v>
      </c>
      <c r="E9" s="18">
        <f t="shared" si="0"/>
        <v>79.6</v>
      </c>
    </row>
    <row r="10" spans="1:5" ht="12.75">
      <c r="A10" s="25" t="s">
        <v>8</v>
      </c>
      <c r="B10" s="26">
        <v>5000</v>
      </c>
      <c r="C10" s="26">
        <v>2000</v>
      </c>
      <c r="D10" s="27">
        <v>965</v>
      </c>
      <c r="E10" s="15">
        <f t="shared" si="0"/>
        <v>48.3</v>
      </c>
    </row>
    <row r="11" spans="1:5" ht="12.75">
      <c r="A11" s="25" t="s">
        <v>9</v>
      </c>
      <c r="B11" s="28">
        <f>SUM(B12,B34,B41,B58,B60,B64,B65,B66,B68,B69,B70,B73)</f>
        <v>83394</v>
      </c>
      <c r="C11" s="28">
        <f>SUM(C12,C34,C41,C58,C60,C64,C65,C66,C68,C69,C70,C73)</f>
        <v>74600</v>
      </c>
      <c r="D11" s="28">
        <f>SUM(D12,D34,D41,D58,D60,D64,D65,D66,D68,D69,D70,D73)</f>
        <v>59333.95</v>
      </c>
      <c r="E11" s="15">
        <f t="shared" si="0"/>
        <v>79.5</v>
      </c>
    </row>
    <row r="12" spans="1:5" ht="12.75">
      <c r="A12" s="25" t="s">
        <v>10</v>
      </c>
      <c r="B12" s="28">
        <f>ROUND(4100000/1000,0)</f>
        <v>4100</v>
      </c>
      <c r="C12" s="28">
        <f>ROUND(2000000/1000,0)</f>
        <v>2000</v>
      </c>
      <c r="D12" s="27">
        <f>SUM(D13:D33)</f>
        <v>1689.2</v>
      </c>
      <c r="E12" s="4">
        <f t="shared" si="0"/>
        <v>84.5</v>
      </c>
    </row>
    <row r="13" spans="1:5" ht="12.75">
      <c r="A13" s="29" t="s">
        <v>11</v>
      </c>
      <c r="B13" s="28"/>
      <c r="C13" s="28"/>
      <c r="D13" s="30">
        <f>ROUND(95615.4/1000,0)</f>
        <v>96</v>
      </c>
      <c r="E13" s="4"/>
    </row>
    <row r="14" spans="1:5" ht="12.75">
      <c r="A14" s="29" t="s">
        <v>12</v>
      </c>
      <c r="B14" s="28"/>
      <c r="C14" s="28"/>
      <c r="D14" s="30">
        <f>ROUND(130508/1000,0)</f>
        <v>131</v>
      </c>
      <c r="E14" s="4"/>
    </row>
    <row r="15" spans="1:5" ht="12.75">
      <c r="A15" s="29" t="s">
        <v>13</v>
      </c>
      <c r="B15" s="28"/>
      <c r="C15" s="28"/>
      <c r="D15" s="30">
        <f>ROUND(61253.8/1000,0)</f>
        <v>61</v>
      </c>
      <c r="E15" s="4"/>
    </row>
    <row r="16" spans="1:5" ht="12.75">
      <c r="A16" s="29" t="s">
        <v>14</v>
      </c>
      <c r="B16" s="28"/>
      <c r="C16" s="28"/>
      <c r="D16" s="30">
        <f>ROUND(201214/1000,1)</f>
        <v>201.2</v>
      </c>
      <c r="E16" s="4"/>
    </row>
    <row r="17" spans="1:5" ht="12.75">
      <c r="A17" s="29" t="s">
        <v>15</v>
      </c>
      <c r="B17" s="28"/>
      <c r="C17" s="28"/>
      <c r="D17" s="30">
        <v>62</v>
      </c>
      <c r="E17" s="4"/>
    </row>
    <row r="18" spans="1:5" ht="12.75">
      <c r="A18" s="29" t="s">
        <v>16</v>
      </c>
      <c r="B18" s="28"/>
      <c r="C18" s="28"/>
      <c r="D18" s="30">
        <f>ROUND(198936.2/1000,0)</f>
        <v>199</v>
      </c>
      <c r="E18" s="4"/>
    </row>
    <row r="19" spans="1:5" ht="12.75">
      <c r="A19" s="29" t="s">
        <v>17</v>
      </c>
      <c r="B19" s="28"/>
      <c r="C19" s="28"/>
      <c r="D19" s="30">
        <f>ROUND(60972.96/1000,0)</f>
        <v>61</v>
      </c>
      <c r="E19" s="4"/>
    </row>
    <row r="20" spans="1:5" ht="12.75">
      <c r="A20" s="29" t="s">
        <v>18</v>
      </c>
      <c r="B20" s="28"/>
      <c r="C20" s="28"/>
      <c r="D20" s="30">
        <f>ROUND(78989.2/1000,0)</f>
        <v>79</v>
      </c>
      <c r="E20" s="4"/>
    </row>
    <row r="21" spans="1:5" ht="12.75">
      <c r="A21" s="29" t="s">
        <v>19</v>
      </c>
      <c r="B21" s="28"/>
      <c r="C21" s="28"/>
      <c r="D21" s="30">
        <f>ROUND(69856/1000,0)</f>
        <v>70</v>
      </c>
      <c r="E21" s="4"/>
    </row>
    <row r="22" spans="1:5" ht="12.75">
      <c r="A22" s="29" t="s">
        <v>20</v>
      </c>
      <c r="B22" s="28"/>
      <c r="C22" s="28"/>
      <c r="D22" s="30">
        <v>65</v>
      </c>
      <c r="E22" s="4"/>
    </row>
    <row r="23" spans="1:5" ht="12.75">
      <c r="A23" s="29" t="s">
        <v>21</v>
      </c>
      <c r="B23" s="28"/>
      <c r="C23" s="28"/>
      <c r="D23" s="30">
        <f>ROUND(85764/1000,0)</f>
        <v>86</v>
      </c>
      <c r="E23" s="4"/>
    </row>
    <row r="24" spans="1:5" ht="12.75">
      <c r="A24" s="29" t="s">
        <v>22</v>
      </c>
      <c r="B24" s="28"/>
      <c r="C24" s="28"/>
      <c r="D24" s="30">
        <f>ROUND(36084/1000,0)</f>
        <v>36</v>
      </c>
      <c r="E24" s="4"/>
    </row>
    <row r="25" spans="1:5" ht="12.75">
      <c r="A25" s="29" t="s">
        <v>23</v>
      </c>
      <c r="B25" s="28"/>
      <c r="C25" s="28"/>
      <c r="D25" s="30">
        <v>43</v>
      </c>
      <c r="E25" s="4"/>
    </row>
    <row r="26" spans="1:5" ht="12.75">
      <c r="A26" s="29" t="s">
        <v>24</v>
      </c>
      <c r="B26" s="28"/>
      <c r="C26" s="28"/>
      <c r="D26" s="30">
        <f>ROUND(66912/1000,0)</f>
        <v>67</v>
      </c>
      <c r="E26" s="4"/>
    </row>
    <row r="27" spans="1:5" ht="12.75">
      <c r="A27" s="29" t="s">
        <v>25</v>
      </c>
      <c r="B27" s="28"/>
      <c r="C27" s="28"/>
      <c r="D27" s="30">
        <f>ROUND(119670/1000,0)</f>
        <v>120</v>
      </c>
      <c r="E27" s="4"/>
    </row>
    <row r="28" spans="1:5" ht="12.75">
      <c r="A28" s="29" t="s">
        <v>26</v>
      </c>
      <c r="B28" s="28"/>
      <c r="C28" s="28"/>
      <c r="D28" s="30">
        <f>ROUND(159832.8/1000,0)</f>
        <v>160</v>
      </c>
      <c r="E28" s="4"/>
    </row>
    <row r="29" spans="1:5" ht="12.75">
      <c r="A29" s="29" t="s">
        <v>27</v>
      </c>
      <c r="B29" s="28"/>
      <c r="C29" s="28"/>
      <c r="D29" s="30">
        <f>ROUND(56052/1000,0)</f>
        <v>56</v>
      </c>
      <c r="E29" s="4"/>
    </row>
    <row r="30" spans="1:5" ht="12.75">
      <c r="A30" s="29" t="s">
        <v>28</v>
      </c>
      <c r="B30" s="28"/>
      <c r="C30" s="28"/>
      <c r="D30" s="30">
        <f>ROUND(83340/1000,0)</f>
        <v>83</v>
      </c>
      <c r="E30" s="4"/>
    </row>
    <row r="31" spans="1:5" ht="12.75">
      <c r="A31" s="29" t="s">
        <v>29</v>
      </c>
      <c r="B31" s="28"/>
      <c r="C31" s="28"/>
      <c r="D31" s="30">
        <f>ROUND(4800/1000,0)</f>
        <v>5</v>
      </c>
      <c r="E31" s="4"/>
    </row>
    <row r="32" spans="1:5" ht="12.75">
      <c r="A32" s="29" t="s">
        <v>30</v>
      </c>
      <c r="B32" s="28"/>
      <c r="C32" s="28"/>
      <c r="D32" s="30">
        <f>ROUND(3840/1000,0)</f>
        <v>4</v>
      </c>
      <c r="E32" s="4"/>
    </row>
    <row r="33" spans="1:5" ht="12.75">
      <c r="A33" s="29" t="s">
        <v>31</v>
      </c>
      <c r="B33" s="28"/>
      <c r="C33" s="28"/>
      <c r="D33" s="30">
        <f>ROUND(3840/1000,0)</f>
        <v>4</v>
      </c>
      <c r="E33" s="4"/>
    </row>
    <row r="34" spans="1:5" ht="12.75">
      <c r="A34" s="25" t="s">
        <v>32</v>
      </c>
      <c r="B34" s="28">
        <f>SUM(B35:B40)</f>
        <v>11015</v>
      </c>
      <c r="C34" s="28">
        <f>SUM(C35:C40)</f>
        <v>10165</v>
      </c>
      <c r="D34" s="28">
        <f>SUM(D35:D40)</f>
        <v>9526</v>
      </c>
      <c r="E34" s="15">
        <f>ROUND(D34/C34*100,1)</f>
        <v>93.7</v>
      </c>
    </row>
    <row r="35" spans="1:5" ht="22.5">
      <c r="A35" s="31" t="s">
        <v>33</v>
      </c>
      <c r="B35" s="32">
        <f>ROUND(2900000/1000,0)</f>
        <v>2900</v>
      </c>
      <c r="C35" s="32">
        <f>ROUND(30000/1000,0)</f>
        <v>30</v>
      </c>
      <c r="D35" s="19"/>
      <c r="E35" s="4"/>
    </row>
    <row r="36" spans="1:5" ht="12.75">
      <c r="A36" s="33" t="s">
        <v>34</v>
      </c>
      <c r="B36" s="32">
        <f>ROUND(1000000/1000,0)</f>
        <v>1000</v>
      </c>
      <c r="C36" s="32">
        <f>ROUND(1150000/1000,0)</f>
        <v>1150</v>
      </c>
      <c r="D36" s="34">
        <f>ROUND(1007930/1000,0)</f>
        <v>1008</v>
      </c>
      <c r="E36" s="4">
        <f>ROUND(D36/C36*100,1)</f>
        <v>87.7</v>
      </c>
    </row>
    <row r="37" spans="1:5" ht="12.75">
      <c r="A37" s="33" t="s">
        <v>35</v>
      </c>
      <c r="B37" s="32">
        <f>ROUND(2815000/1000,0)</f>
        <v>2815</v>
      </c>
      <c r="C37" s="32">
        <f>ROUND(2815000/1000,0)</f>
        <v>2815</v>
      </c>
      <c r="D37" s="34">
        <f>ROUND(2578825.65/1000,0)</f>
        <v>2579</v>
      </c>
      <c r="E37" s="4">
        <f>ROUND(D37/C37*100,1)</f>
        <v>91.6</v>
      </c>
    </row>
    <row r="38" spans="1:5" ht="12.75">
      <c r="A38" s="33" t="s">
        <v>36</v>
      </c>
      <c r="B38" s="32">
        <f>ROUND(200000/1000,0)</f>
        <v>200</v>
      </c>
      <c r="C38" s="32"/>
      <c r="D38" s="34"/>
      <c r="E38" s="4"/>
    </row>
    <row r="39" spans="1:5" ht="12.75">
      <c r="A39" s="33" t="s">
        <v>37</v>
      </c>
      <c r="B39" s="32">
        <f>ROUND(600000/1000,0)</f>
        <v>600</v>
      </c>
      <c r="C39" s="32">
        <f>ROUND(920000/1000,0)</f>
        <v>920</v>
      </c>
      <c r="D39" s="34">
        <f>ROUND(918770/1000,0)</f>
        <v>919</v>
      </c>
      <c r="E39" s="4">
        <f>ROUND(D39/C39*100,1)</f>
        <v>99.9</v>
      </c>
    </row>
    <row r="40" spans="1:5" ht="12.75">
      <c r="A40" s="35" t="s">
        <v>38</v>
      </c>
      <c r="B40" s="32">
        <f>ROUND(3500000/1000,0)</f>
        <v>3500</v>
      </c>
      <c r="C40" s="32">
        <f>ROUND(5250000/1000,0)</f>
        <v>5250</v>
      </c>
      <c r="D40" s="19">
        <f>ROUND(5020066.8/1000,0)</f>
        <v>5020</v>
      </c>
      <c r="E40" s="4">
        <f>ROUND(D40/C40*100,1)</f>
        <v>95.6</v>
      </c>
    </row>
    <row r="41" spans="1:5" ht="12.75">
      <c r="A41" s="25" t="s">
        <v>39</v>
      </c>
      <c r="B41" s="26">
        <f>ROUND(19441000/1000,0)</f>
        <v>19441</v>
      </c>
      <c r="C41" s="26">
        <f>ROUND(7700000/1000,0)</f>
        <v>7700</v>
      </c>
      <c r="D41" s="26">
        <f>SUM(D42:D57)</f>
        <v>6571</v>
      </c>
      <c r="E41" s="15">
        <f>ROUND(D41/C41*100,1)</f>
        <v>85.3</v>
      </c>
    </row>
    <row r="42" spans="1:5" ht="12.75">
      <c r="A42" s="36" t="s">
        <v>40</v>
      </c>
      <c r="B42" s="19"/>
      <c r="C42" s="19"/>
      <c r="D42" s="34">
        <f>ROUND(432333/1000,0)</f>
        <v>432</v>
      </c>
      <c r="E42" s="15"/>
    </row>
    <row r="43" spans="1:5" ht="12.75">
      <c r="A43" s="36" t="s">
        <v>41</v>
      </c>
      <c r="B43" s="19"/>
      <c r="C43" s="19"/>
      <c r="D43" s="34">
        <f>ROUND(400039/1000,0)</f>
        <v>400</v>
      </c>
      <c r="E43" s="15"/>
    </row>
    <row r="44" spans="1:5" ht="12.75">
      <c r="A44" s="36" t="s">
        <v>42</v>
      </c>
      <c r="B44" s="19"/>
      <c r="C44" s="19"/>
      <c r="D44" s="34">
        <f>ROUND(507984/1000,0)</f>
        <v>508</v>
      </c>
      <c r="E44" s="15"/>
    </row>
    <row r="45" spans="1:5" ht="12.75">
      <c r="A45" s="36" t="s">
        <v>43</v>
      </c>
      <c r="B45" s="19"/>
      <c r="C45" s="19"/>
      <c r="D45" s="34">
        <f>ROUND(208509.6/1000,0)</f>
        <v>209</v>
      </c>
      <c r="E45" s="15"/>
    </row>
    <row r="46" spans="1:5" ht="12.75">
      <c r="A46" s="37" t="s">
        <v>44</v>
      </c>
      <c r="B46" s="19"/>
      <c r="C46" s="19"/>
      <c r="D46" s="34">
        <f>ROUND(837385.8/1000,0)</f>
        <v>837</v>
      </c>
      <c r="E46" s="15"/>
    </row>
    <row r="47" spans="1:5" ht="12.75">
      <c r="A47" s="36" t="s">
        <v>45</v>
      </c>
      <c r="B47" s="19"/>
      <c r="C47" s="19"/>
      <c r="D47" s="34">
        <f>ROUND(312067/1000,0)</f>
        <v>312</v>
      </c>
      <c r="E47" s="15"/>
    </row>
    <row r="48" spans="1:5" ht="12.75">
      <c r="A48" s="36" t="s">
        <v>46</v>
      </c>
      <c r="B48" s="19"/>
      <c r="C48" s="19"/>
      <c r="D48" s="34">
        <f>ROUND(234704.4/1000,0)</f>
        <v>235</v>
      </c>
      <c r="E48" s="15"/>
    </row>
    <row r="49" spans="1:5" ht="12.75">
      <c r="A49" s="36" t="s">
        <v>47</v>
      </c>
      <c r="B49" s="19"/>
      <c r="C49" s="19"/>
      <c r="D49" s="34">
        <f>ROUND(100147.2/1000,0)</f>
        <v>100</v>
      </c>
      <c r="E49" s="15"/>
    </row>
    <row r="50" spans="1:5" ht="12.75">
      <c r="A50" s="36" t="s">
        <v>48</v>
      </c>
      <c r="B50" s="19"/>
      <c r="C50" s="19"/>
      <c r="D50" s="34">
        <f>ROUND(233762/1000,0)</f>
        <v>234</v>
      </c>
      <c r="E50" s="15"/>
    </row>
    <row r="51" spans="1:5" ht="12.75">
      <c r="A51" s="36" t="s">
        <v>49</v>
      </c>
      <c r="B51" s="19"/>
      <c r="C51" s="19"/>
      <c r="D51" s="34">
        <f>ROUND(594263/1000,0)</f>
        <v>594</v>
      </c>
      <c r="E51" s="15"/>
    </row>
    <row r="52" spans="1:5" ht="12.75">
      <c r="A52" s="36" t="s">
        <v>50</v>
      </c>
      <c r="B52" s="19"/>
      <c r="C52" s="19"/>
      <c r="D52" s="34">
        <f>ROUND(588695/1000,0)</f>
        <v>589</v>
      </c>
      <c r="E52" s="15"/>
    </row>
    <row r="53" spans="1:5" ht="12.75">
      <c r="A53" s="38" t="s">
        <v>51</v>
      </c>
      <c r="B53" s="19"/>
      <c r="C53" s="19"/>
      <c r="D53" s="34">
        <f>ROUND(554962.25/1000,0)</f>
        <v>555</v>
      </c>
      <c r="E53" s="15"/>
    </row>
    <row r="54" spans="1:5" ht="12.75">
      <c r="A54" s="38" t="s">
        <v>52</v>
      </c>
      <c r="B54" s="19"/>
      <c r="C54" s="19"/>
      <c r="D54" s="34">
        <v>330</v>
      </c>
      <c r="E54" s="15"/>
    </row>
    <row r="55" spans="1:5" ht="12.75">
      <c r="A55" s="36" t="s">
        <v>53</v>
      </c>
      <c r="B55" s="19"/>
      <c r="C55" s="19"/>
      <c r="D55" s="34">
        <f>ROUND(652366.6/1000,0)</f>
        <v>652</v>
      </c>
      <c r="E55" s="15"/>
    </row>
    <row r="56" spans="1:5" ht="12.75">
      <c r="A56" s="36" t="s">
        <v>54</v>
      </c>
      <c r="B56" s="19"/>
      <c r="C56" s="19"/>
      <c r="D56" s="34">
        <f>ROUND(188950.8/1000,0)</f>
        <v>189</v>
      </c>
      <c r="E56" s="15"/>
    </row>
    <row r="57" spans="1:5" ht="12.75">
      <c r="A57" s="36" t="s">
        <v>55</v>
      </c>
      <c r="B57" s="19"/>
      <c r="C57" s="19"/>
      <c r="D57" s="34">
        <f>ROUND(394708.4/1000,0)</f>
        <v>395</v>
      </c>
      <c r="E57" s="15"/>
    </row>
    <row r="58" spans="1:5" ht="12.75">
      <c r="A58" s="25" t="s">
        <v>56</v>
      </c>
      <c r="B58" s="28">
        <f>SUM(B59)</f>
        <v>400</v>
      </c>
      <c r="C58" s="28">
        <f>SUM(C59)</f>
        <v>400</v>
      </c>
      <c r="D58" s="28">
        <f>SUM(D59)</f>
        <v>400</v>
      </c>
      <c r="E58" s="15">
        <f aca="true" t="shared" si="1" ref="E58:E63">ROUND(D58/C58*100,1)</f>
        <v>100</v>
      </c>
    </row>
    <row r="59" spans="1:5" ht="12.75">
      <c r="A59" s="33" t="s">
        <v>57</v>
      </c>
      <c r="B59" s="19">
        <f>ROUND(400000/1000,0)</f>
        <v>400</v>
      </c>
      <c r="C59" s="19">
        <v>400</v>
      </c>
      <c r="D59" s="34">
        <f>ROUND(399996.36/1000,0)</f>
        <v>400</v>
      </c>
      <c r="E59" s="4">
        <f t="shared" si="1"/>
        <v>100</v>
      </c>
    </row>
    <row r="60" spans="1:5" ht="12.75">
      <c r="A60" s="25" t="s">
        <v>58</v>
      </c>
      <c r="B60" s="28">
        <f>SUM(B61:B63)</f>
        <v>18300</v>
      </c>
      <c r="C60" s="28">
        <f>SUM(C61:C63)</f>
        <v>18397</v>
      </c>
      <c r="D60" s="28">
        <f>SUM(D61:D63)</f>
        <v>6564</v>
      </c>
      <c r="E60" s="15">
        <f t="shared" si="1"/>
        <v>35.7</v>
      </c>
    </row>
    <row r="61" spans="1:5" ht="12.75">
      <c r="A61" s="20" t="s">
        <v>59</v>
      </c>
      <c r="B61" s="22">
        <f>ROUND(9300000/1000,0)</f>
        <v>9300</v>
      </c>
      <c r="C61" s="22">
        <f>ROUND(9300000/1000,0)</f>
        <v>9300</v>
      </c>
      <c r="D61" s="22">
        <f>ROUND(3106170.8/1000,0)</f>
        <v>3106</v>
      </c>
      <c r="E61" s="4">
        <f t="shared" si="1"/>
        <v>33.4</v>
      </c>
    </row>
    <row r="62" spans="1:5" ht="12.75">
      <c r="A62" s="35" t="s">
        <v>60</v>
      </c>
      <c r="B62" s="32">
        <f>ROUND(9000000/1000,0)</f>
        <v>9000</v>
      </c>
      <c r="C62" s="32">
        <f>ROUND(9000000/1000,0)</f>
        <v>9000</v>
      </c>
      <c r="D62" s="32">
        <f>ROUND(3360589.44/1000,0)</f>
        <v>3361</v>
      </c>
      <c r="E62" s="4">
        <f t="shared" si="1"/>
        <v>37.3</v>
      </c>
    </row>
    <row r="63" spans="1:5" ht="12.75">
      <c r="A63" s="35" t="s">
        <v>61</v>
      </c>
      <c r="B63" s="32"/>
      <c r="C63" s="32">
        <f>ROUND(96972/1000,0)</f>
        <v>97</v>
      </c>
      <c r="D63" s="32">
        <f>ROUND(96972/1000,0)</f>
        <v>97</v>
      </c>
      <c r="E63" s="4">
        <f t="shared" si="1"/>
        <v>100</v>
      </c>
    </row>
    <row r="64" spans="1:5" ht="12.75">
      <c r="A64" s="39" t="s">
        <v>62</v>
      </c>
      <c r="B64" s="26">
        <v>500</v>
      </c>
      <c r="C64" s="32"/>
      <c r="D64" s="32"/>
      <c r="E64" s="4"/>
    </row>
    <row r="65" spans="1:5" ht="12.75">
      <c r="A65" s="25" t="s">
        <v>63</v>
      </c>
      <c r="B65" s="26">
        <v>1000</v>
      </c>
      <c r="C65" s="26">
        <v>800</v>
      </c>
      <c r="D65" s="40">
        <f>ROUND(776579/1000,0)</f>
        <v>777</v>
      </c>
      <c r="E65" s="15">
        <f>ROUND(D65/C65*100,1)</f>
        <v>97.1</v>
      </c>
    </row>
    <row r="66" spans="1:5" ht="12.75">
      <c r="A66" s="25" t="s">
        <v>64</v>
      </c>
      <c r="B66" s="28">
        <v>4572</v>
      </c>
      <c r="C66" s="28">
        <v>4622</v>
      </c>
      <c r="D66" s="28">
        <f>SUM(D67)</f>
        <v>4572</v>
      </c>
      <c r="E66" s="15">
        <f>ROUND(D66/C66*100,1)</f>
        <v>98.9</v>
      </c>
    </row>
    <row r="67" spans="1:5" ht="12.75">
      <c r="A67" s="33" t="s">
        <v>65</v>
      </c>
      <c r="B67" s="19">
        <v>4572</v>
      </c>
      <c r="C67" s="19">
        <v>4622</v>
      </c>
      <c r="D67" s="34">
        <f>ROUND(4571714.7/1000,0)</f>
        <v>4572</v>
      </c>
      <c r="E67" s="4">
        <f>ROUND(D67/C67*100,1)</f>
        <v>98.9</v>
      </c>
    </row>
    <row r="68" spans="1:5" ht="12.75">
      <c r="A68" s="25" t="s">
        <v>66</v>
      </c>
      <c r="B68" s="28">
        <v>365</v>
      </c>
      <c r="C68" s="28">
        <v>790</v>
      </c>
      <c r="D68" s="28">
        <f>SUM(789750/1000,0)</f>
        <v>789.75</v>
      </c>
      <c r="E68" s="15">
        <f>ROUND(D68/C68*100,1)</f>
        <v>100</v>
      </c>
    </row>
    <row r="69" spans="1:5" ht="12.75">
      <c r="A69" s="25" t="s">
        <v>67</v>
      </c>
      <c r="B69" s="28">
        <v>400</v>
      </c>
      <c r="C69" s="28"/>
      <c r="D69" s="28"/>
      <c r="E69" s="15"/>
    </row>
    <row r="70" spans="1:5" ht="12.75">
      <c r="A70" s="25" t="s">
        <v>68</v>
      </c>
      <c r="B70" s="28">
        <f>SUM(B71:B72)</f>
        <v>20801</v>
      </c>
      <c r="C70" s="28">
        <f>SUM(C71:C72)</f>
        <v>27426</v>
      </c>
      <c r="D70" s="28">
        <f>SUM(D71:D72)</f>
        <v>27429</v>
      </c>
      <c r="E70" s="15">
        <f aca="true" t="shared" si="2" ref="E70:E76">ROUND(D70/C70*100,1)</f>
        <v>100</v>
      </c>
    </row>
    <row r="71" spans="1:5" ht="12.75">
      <c r="A71" s="33" t="s">
        <v>69</v>
      </c>
      <c r="B71" s="19">
        <v>20001</v>
      </c>
      <c r="C71" s="19">
        <v>26876</v>
      </c>
      <c r="D71" s="34">
        <f>ROUND(26874489/1000,0)</f>
        <v>26874</v>
      </c>
      <c r="E71" s="4">
        <f t="shared" si="2"/>
        <v>100</v>
      </c>
    </row>
    <row r="72" spans="1:5" ht="12.75">
      <c r="A72" s="33" t="s">
        <v>70</v>
      </c>
      <c r="B72" s="32">
        <v>800</v>
      </c>
      <c r="C72" s="32">
        <v>550</v>
      </c>
      <c r="D72" s="34">
        <f>ROUND(554906/1000,0)</f>
        <v>555</v>
      </c>
      <c r="E72" s="4">
        <f t="shared" si="2"/>
        <v>100.9</v>
      </c>
    </row>
    <row r="73" spans="1:5" ht="12.75">
      <c r="A73" s="25" t="s">
        <v>71</v>
      </c>
      <c r="B73" s="28">
        <f>SUM(B74:B76)</f>
        <v>2500</v>
      </c>
      <c r="C73" s="28">
        <f>SUM(C74:C76)</f>
        <v>2300</v>
      </c>
      <c r="D73" s="28">
        <f>SUM(D74:D76)</f>
        <v>1016</v>
      </c>
      <c r="E73" s="15">
        <f t="shared" si="2"/>
        <v>44.2</v>
      </c>
    </row>
    <row r="74" spans="1:5" ht="12.75">
      <c r="A74" s="33" t="s">
        <v>72</v>
      </c>
      <c r="B74" s="19">
        <v>1000</v>
      </c>
      <c r="C74" s="19">
        <v>800</v>
      </c>
      <c r="D74" s="34">
        <f>ROUND(439771.26/1000,0)</f>
        <v>440</v>
      </c>
      <c r="E74" s="4">
        <f t="shared" si="2"/>
        <v>55</v>
      </c>
    </row>
    <row r="75" spans="1:5" ht="12.75">
      <c r="A75" s="33" t="s">
        <v>73</v>
      </c>
      <c r="B75" s="19">
        <v>1000</v>
      </c>
      <c r="C75" s="19">
        <v>1000</v>
      </c>
      <c r="D75" s="34">
        <f>ROUND(432180/1000,0)</f>
        <v>432</v>
      </c>
      <c r="E75" s="4">
        <f t="shared" si="2"/>
        <v>43.2</v>
      </c>
    </row>
    <row r="76" spans="1:5" ht="12.75">
      <c r="A76" s="33" t="s">
        <v>74</v>
      </c>
      <c r="B76" s="19">
        <v>500</v>
      </c>
      <c r="C76" s="19">
        <v>500</v>
      </c>
      <c r="D76" s="34">
        <f>ROUND(144107/1000,0)</f>
        <v>144</v>
      </c>
      <c r="E76" s="4">
        <f t="shared" si="2"/>
        <v>28.8</v>
      </c>
    </row>
    <row r="77" spans="1:5" ht="12.75">
      <c r="A77" s="41" t="s">
        <v>75</v>
      </c>
      <c r="B77" s="26">
        <v>1500</v>
      </c>
      <c r="C77" s="19"/>
      <c r="D77" s="34"/>
      <c r="E77" s="4"/>
    </row>
    <row r="78" spans="1:5" ht="22.5">
      <c r="A78" s="42" t="s">
        <v>76</v>
      </c>
      <c r="B78" s="19">
        <v>1500</v>
      </c>
      <c r="C78" s="19"/>
      <c r="D78" s="34"/>
      <c r="E78" s="4"/>
    </row>
    <row r="79" spans="1:5" ht="12.75">
      <c r="A79" s="43" t="s">
        <v>77</v>
      </c>
      <c r="B79" s="32"/>
      <c r="C79" s="26">
        <v>80</v>
      </c>
      <c r="D79" s="26">
        <v>80</v>
      </c>
      <c r="E79" s="15">
        <f aca="true" t="shared" si="3" ref="E79:E99">ROUND(D79/C79*100,1)</f>
        <v>100</v>
      </c>
    </row>
    <row r="80" spans="1:5" ht="12.75">
      <c r="A80" s="37" t="s">
        <v>78</v>
      </c>
      <c r="B80" s="32"/>
      <c r="C80" s="32">
        <v>80</v>
      </c>
      <c r="D80" s="32">
        <v>80</v>
      </c>
      <c r="E80" s="4">
        <f t="shared" si="3"/>
        <v>100</v>
      </c>
    </row>
    <row r="81" spans="1:5" ht="12.75">
      <c r="A81" s="44" t="s">
        <v>79</v>
      </c>
      <c r="B81" s="26">
        <v>500</v>
      </c>
      <c r="C81" s="26">
        <v>700</v>
      </c>
      <c r="D81" s="26">
        <v>700</v>
      </c>
      <c r="E81" s="15">
        <f t="shared" si="3"/>
        <v>100</v>
      </c>
    </row>
    <row r="82" spans="1:5" ht="12.75">
      <c r="A82" s="37" t="s">
        <v>80</v>
      </c>
      <c r="B82" s="32">
        <v>500</v>
      </c>
      <c r="C82" s="32">
        <v>700</v>
      </c>
      <c r="D82" s="32">
        <v>700</v>
      </c>
      <c r="E82" s="4">
        <f t="shared" si="3"/>
        <v>100</v>
      </c>
    </row>
    <row r="83" spans="1:5" ht="12.75">
      <c r="A83" s="45" t="s">
        <v>81</v>
      </c>
      <c r="B83" s="26">
        <v>1000</v>
      </c>
      <c r="C83" s="26">
        <v>800</v>
      </c>
      <c r="D83" s="26">
        <v>800</v>
      </c>
      <c r="E83" s="15">
        <f t="shared" si="3"/>
        <v>100</v>
      </c>
    </row>
    <row r="84" spans="1:5" ht="22.5">
      <c r="A84" s="37" t="s">
        <v>82</v>
      </c>
      <c r="B84" s="32">
        <v>1000</v>
      </c>
      <c r="C84" s="32">
        <v>800</v>
      </c>
      <c r="D84" s="32">
        <v>800</v>
      </c>
      <c r="E84" s="4">
        <f t="shared" si="3"/>
        <v>100</v>
      </c>
    </row>
    <row r="85" spans="1:5" ht="12.75">
      <c r="A85" s="46" t="s">
        <v>83</v>
      </c>
      <c r="B85" s="47">
        <f>SUM(B86:B92)</f>
        <v>3900</v>
      </c>
      <c r="C85" s="47">
        <f>SUM(C86:C92)</f>
        <v>1992</v>
      </c>
      <c r="D85" s="47">
        <f>SUM(D86:D92)</f>
        <v>1942</v>
      </c>
      <c r="E85" s="15">
        <f t="shared" si="3"/>
        <v>97.5</v>
      </c>
    </row>
    <row r="86" spans="1:5" ht="12.75">
      <c r="A86" s="33" t="s">
        <v>84</v>
      </c>
      <c r="B86" s="34">
        <v>1300</v>
      </c>
      <c r="C86" s="34">
        <v>600</v>
      </c>
      <c r="D86" s="34">
        <f>ROUND(565308.29/1000,0)</f>
        <v>565</v>
      </c>
      <c r="E86" s="4">
        <f t="shared" si="3"/>
        <v>94.2</v>
      </c>
    </row>
    <row r="87" spans="1:5" ht="12.75">
      <c r="A87" s="35" t="s">
        <v>85</v>
      </c>
      <c r="B87" s="34">
        <v>100</v>
      </c>
      <c r="C87" s="34">
        <v>28</v>
      </c>
      <c r="D87" s="34">
        <v>28</v>
      </c>
      <c r="E87" s="4">
        <f t="shared" si="3"/>
        <v>100</v>
      </c>
    </row>
    <row r="88" spans="1:5" ht="12.75">
      <c r="A88" s="42" t="s">
        <v>86</v>
      </c>
      <c r="B88" s="34">
        <v>500</v>
      </c>
      <c r="C88" s="34">
        <v>162</v>
      </c>
      <c r="D88" s="34">
        <v>162</v>
      </c>
      <c r="E88" s="4">
        <f t="shared" si="3"/>
        <v>100</v>
      </c>
    </row>
    <row r="89" spans="1:5" ht="12.75">
      <c r="A89" s="33" t="s">
        <v>87</v>
      </c>
      <c r="B89" s="34">
        <v>1500</v>
      </c>
      <c r="C89" s="34">
        <v>700</v>
      </c>
      <c r="D89" s="34">
        <v>700</v>
      </c>
      <c r="E89" s="4">
        <f t="shared" si="3"/>
        <v>100</v>
      </c>
    </row>
    <row r="90" spans="1:5" ht="12.75">
      <c r="A90" s="35" t="s">
        <v>88</v>
      </c>
      <c r="B90" s="34"/>
      <c r="C90" s="34">
        <f>ROUND(33730/1000,0)</f>
        <v>34</v>
      </c>
      <c r="D90" s="34">
        <f>ROUND(33730/1000,0)</f>
        <v>34</v>
      </c>
      <c r="E90" s="4">
        <f t="shared" si="3"/>
        <v>100</v>
      </c>
    </row>
    <row r="91" spans="1:5" ht="12.75">
      <c r="A91" s="35" t="s">
        <v>89</v>
      </c>
      <c r="B91" s="34"/>
      <c r="C91" s="34">
        <f>ROUND(18160/1000,0)</f>
        <v>18</v>
      </c>
      <c r="D91" s="34">
        <f>ROUND(18165/1000,0)</f>
        <v>18</v>
      </c>
      <c r="E91" s="4">
        <f t="shared" si="3"/>
        <v>100</v>
      </c>
    </row>
    <row r="92" spans="1:5" ht="12.75">
      <c r="A92" s="33" t="s">
        <v>90</v>
      </c>
      <c r="B92" s="34">
        <v>500</v>
      </c>
      <c r="C92" s="34">
        <v>450</v>
      </c>
      <c r="D92" s="19">
        <f>ROUND(435005.62/1000,0)</f>
        <v>435</v>
      </c>
      <c r="E92" s="4">
        <f t="shared" si="3"/>
        <v>96.7</v>
      </c>
    </row>
    <row r="93" spans="1:5" ht="12.75">
      <c r="A93" s="23" t="s">
        <v>91</v>
      </c>
      <c r="B93" s="24">
        <f>SUM(B94,B98)</f>
        <v>5000</v>
      </c>
      <c r="C93" s="24">
        <f>SUM(C94,C98)</f>
        <v>2810</v>
      </c>
      <c r="D93" s="24">
        <f>SUM(D94,D98)</f>
        <v>2713</v>
      </c>
      <c r="E93" s="18">
        <f t="shared" si="3"/>
        <v>96.5</v>
      </c>
    </row>
    <row r="94" spans="1:5" ht="12.75">
      <c r="A94" s="25" t="s">
        <v>92</v>
      </c>
      <c r="B94" s="28">
        <f>SUM(B95:B97)</f>
        <v>700</v>
      </c>
      <c r="C94" s="28">
        <f>SUM(C95:C97)</f>
        <v>1160</v>
      </c>
      <c r="D94" s="28">
        <f>SUM(D95:D97)</f>
        <v>1117</v>
      </c>
      <c r="E94" s="15">
        <f t="shared" si="3"/>
        <v>96.3</v>
      </c>
    </row>
    <row r="95" spans="1:5" ht="12.75">
      <c r="A95" s="33" t="s">
        <v>93</v>
      </c>
      <c r="B95" s="19">
        <v>200</v>
      </c>
      <c r="C95" s="19">
        <v>200</v>
      </c>
      <c r="D95" s="34">
        <v>171</v>
      </c>
      <c r="E95" s="4">
        <f t="shared" si="3"/>
        <v>85.5</v>
      </c>
    </row>
    <row r="96" spans="1:5" ht="12.75">
      <c r="A96" s="33" t="s">
        <v>94</v>
      </c>
      <c r="B96" s="19">
        <v>500</v>
      </c>
      <c r="C96" s="19">
        <v>400</v>
      </c>
      <c r="D96" s="34">
        <f>ROUND(386214/1000,0)</f>
        <v>386</v>
      </c>
      <c r="E96" s="4">
        <f t="shared" si="3"/>
        <v>96.5</v>
      </c>
    </row>
    <row r="97" spans="1:5" ht="12.75">
      <c r="A97" s="33" t="s">
        <v>95</v>
      </c>
      <c r="B97" s="19"/>
      <c r="C97" s="19">
        <v>560</v>
      </c>
      <c r="D97" s="34">
        <v>560</v>
      </c>
      <c r="E97" s="4">
        <f t="shared" si="3"/>
        <v>100</v>
      </c>
    </row>
    <row r="98" spans="1:5" ht="12.75">
      <c r="A98" s="25" t="s">
        <v>96</v>
      </c>
      <c r="B98" s="28">
        <f>SUM(B99:B101)</f>
        <v>4300</v>
      </c>
      <c r="C98" s="28">
        <f>SUM(C99:C101)</f>
        <v>1650</v>
      </c>
      <c r="D98" s="28">
        <f>SUM(D99:D101)</f>
        <v>1596</v>
      </c>
      <c r="E98" s="15">
        <f t="shared" si="3"/>
        <v>96.7</v>
      </c>
    </row>
    <row r="99" spans="1:5" ht="12.75">
      <c r="A99" s="33" t="s">
        <v>97</v>
      </c>
      <c r="B99" s="19">
        <v>2000</v>
      </c>
      <c r="C99" s="19">
        <v>1600</v>
      </c>
      <c r="D99" s="34">
        <f>ROUND(1553328.4/1000,0)</f>
        <v>1553</v>
      </c>
      <c r="E99" s="4">
        <f t="shared" si="3"/>
        <v>97.1</v>
      </c>
    </row>
    <row r="100" spans="1:5" ht="12.75">
      <c r="A100" s="33" t="s">
        <v>98</v>
      </c>
      <c r="B100" s="19">
        <v>2000</v>
      </c>
      <c r="C100" s="19"/>
      <c r="D100" s="34"/>
      <c r="E100" s="4"/>
    </row>
    <row r="101" spans="1:5" ht="12.75">
      <c r="A101" s="29" t="s">
        <v>99</v>
      </c>
      <c r="B101" s="22">
        <v>300</v>
      </c>
      <c r="C101" s="22">
        <v>50</v>
      </c>
      <c r="D101" s="30">
        <f>ROUND(43000/1000,0)</f>
        <v>43</v>
      </c>
      <c r="E101" s="4">
        <f aca="true" t="shared" si="4" ref="E101:E117">ROUND(D101/C101*100,1)</f>
        <v>86</v>
      </c>
    </row>
    <row r="102" spans="1:5" ht="12.75">
      <c r="A102" s="23" t="s">
        <v>100</v>
      </c>
      <c r="B102" s="24">
        <f>SUM(B103,B107,B111)</f>
        <v>16450</v>
      </c>
      <c r="C102" s="24">
        <f>SUM(C103,C107,C111)</f>
        <v>8987</v>
      </c>
      <c r="D102" s="24">
        <f>SUM(D103,D107,D111)</f>
        <v>8551</v>
      </c>
      <c r="E102" s="18">
        <f t="shared" si="4"/>
        <v>95.1</v>
      </c>
    </row>
    <row r="103" spans="1:5" ht="12.75">
      <c r="A103" s="41" t="s">
        <v>101</v>
      </c>
      <c r="B103" s="26">
        <f>SUM(B104:B106)</f>
        <v>8900</v>
      </c>
      <c r="C103" s="26">
        <f>SUM(C104:C106)</f>
        <v>5075</v>
      </c>
      <c r="D103" s="26">
        <f>SUM(D104:D106)</f>
        <v>5073</v>
      </c>
      <c r="E103" s="15">
        <f t="shared" si="4"/>
        <v>100</v>
      </c>
    </row>
    <row r="104" spans="1:5" ht="12.75">
      <c r="A104" s="31" t="s">
        <v>102</v>
      </c>
      <c r="B104" s="34">
        <v>2900</v>
      </c>
      <c r="C104" s="34">
        <v>2100</v>
      </c>
      <c r="D104" s="34">
        <v>2086</v>
      </c>
      <c r="E104" s="4">
        <f t="shared" si="4"/>
        <v>99.3</v>
      </c>
    </row>
    <row r="105" spans="1:5" ht="12.75">
      <c r="A105" s="33" t="s">
        <v>103</v>
      </c>
      <c r="B105" s="34">
        <v>3000</v>
      </c>
      <c r="C105" s="34">
        <f>ROUND(1574700/1000,0)</f>
        <v>1575</v>
      </c>
      <c r="D105" s="34">
        <f>ROUND(1574723/1000,0)</f>
        <v>1575</v>
      </c>
      <c r="E105" s="4">
        <f t="shared" si="4"/>
        <v>100</v>
      </c>
    </row>
    <row r="106" spans="1:5" ht="12.75">
      <c r="A106" s="33" t="s">
        <v>104</v>
      </c>
      <c r="B106" s="34">
        <v>3000</v>
      </c>
      <c r="C106" s="34">
        <f>ROUND(1400000/1000,0)</f>
        <v>1400</v>
      </c>
      <c r="D106" s="34">
        <f>ROUND(1412002.69/1000,0)</f>
        <v>1412</v>
      </c>
      <c r="E106" s="4">
        <f t="shared" si="4"/>
        <v>100.9</v>
      </c>
    </row>
    <row r="107" spans="1:5" ht="12.75">
      <c r="A107" s="25" t="s">
        <v>105</v>
      </c>
      <c r="B107" s="28">
        <f>SUM(B108:B110)</f>
        <v>7100</v>
      </c>
      <c r="C107" s="28">
        <f>SUM(C108:C110)</f>
        <v>3537</v>
      </c>
      <c r="D107" s="28">
        <f>SUM(D108:D110)</f>
        <v>3102</v>
      </c>
      <c r="E107" s="15">
        <f t="shared" si="4"/>
        <v>87.7</v>
      </c>
    </row>
    <row r="108" spans="1:5" ht="22.5">
      <c r="A108" s="42" t="s">
        <v>106</v>
      </c>
      <c r="B108" s="19">
        <v>4000</v>
      </c>
      <c r="C108" s="19">
        <v>1600</v>
      </c>
      <c r="D108" s="34">
        <f>ROUND(1419396.58/1000,0)</f>
        <v>1419</v>
      </c>
      <c r="E108" s="4">
        <f t="shared" si="4"/>
        <v>88.7</v>
      </c>
    </row>
    <row r="109" spans="1:5" ht="27" customHeight="1">
      <c r="A109" s="42" t="s">
        <v>107</v>
      </c>
      <c r="B109" s="19">
        <v>2600</v>
      </c>
      <c r="C109" s="19">
        <v>1900</v>
      </c>
      <c r="D109" s="34">
        <f>ROUND(1646254.85/1000,0)</f>
        <v>1646</v>
      </c>
      <c r="E109" s="4">
        <f t="shared" si="4"/>
        <v>86.6</v>
      </c>
    </row>
    <row r="110" spans="1:5" ht="12.75">
      <c r="A110" s="33" t="s">
        <v>108</v>
      </c>
      <c r="B110" s="19">
        <v>500</v>
      </c>
      <c r="C110" s="19">
        <v>37</v>
      </c>
      <c r="D110" s="34">
        <f>ROUND(37052/1000,0)</f>
        <v>37</v>
      </c>
      <c r="E110" s="4">
        <f t="shared" si="4"/>
        <v>100</v>
      </c>
    </row>
    <row r="111" spans="1:5" ht="12.75">
      <c r="A111" s="25" t="s">
        <v>109</v>
      </c>
      <c r="B111" s="26">
        <f>SUM(B112:B114)</f>
        <v>450</v>
      </c>
      <c r="C111" s="26">
        <f>SUM(C112:C114)</f>
        <v>375</v>
      </c>
      <c r="D111" s="26">
        <f>SUM(D112:D114)</f>
        <v>376</v>
      </c>
      <c r="E111" s="15">
        <f t="shared" si="4"/>
        <v>100.3</v>
      </c>
    </row>
    <row r="112" spans="1:5" ht="12.75">
      <c r="A112" s="48" t="s">
        <v>110</v>
      </c>
      <c r="B112" s="22">
        <v>150</v>
      </c>
      <c r="C112" s="22">
        <v>150</v>
      </c>
      <c r="D112" s="30">
        <f>ROUND(149826/1000,0)</f>
        <v>150</v>
      </c>
      <c r="E112" s="4">
        <f t="shared" si="4"/>
        <v>100</v>
      </c>
    </row>
    <row r="113" spans="1:5" ht="22.5">
      <c r="A113" s="48" t="s">
        <v>111</v>
      </c>
      <c r="B113" s="22">
        <v>135</v>
      </c>
      <c r="C113" s="22">
        <v>60</v>
      </c>
      <c r="D113" s="30">
        <f>ROUND(60000.48/1000,0)</f>
        <v>60</v>
      </c>
      <c r="E113" s="4">
        <f t="shared" si="4"/>
        <v>100</v>
      </c>
    </row>
    <row r="114" spans="1:5" ht="12.75">
      <c r="A114" s="29" t="s">
        <v>112</v>
      </c>
      <c r="B114" s="22">
        <v>165</v>
      </c>
      <c r="C114" s="22">
        <v>165</v>
      </c>
      <c r="D114" s="30">
        <f>ROUND(166342.02/1000,0)</f>
        <v>166</v>
      </c>
      <c r="E114" s="4">
        <f t="shared" si="4"/>
        <v>100.6</v>
      </c>
    </row>
    <row r="115" spans="1:5" ht="12.75">
      <c r="A115" s="49" t="s">
        <v>113</v>
      </c>
      <c r="B115" s="50">
        <f>SUM(B116,B128,B134,B139,B142,B144,B148,B151,B155,B160,B163,B165,B167)</f>
        <v>87334</v>
      </c>
      <c r="C115" s="50">
        <f>SUM(C116,C128,C134,C139,C142,C144,C148,C151,C155,C160,C163,C165,C167)</f>
        <v>37012</v>
      </c>
      <c r="D115" s="50">
        <f>SUM(D116,D128,D134,D139,D142,D144,D148,D151,D155,D160,D163,D165,D167)</f>
        <v>36739</v>
      </c>
      <c r="E115" s="18">
        <f t="shared" si="4"/>
        <v>99.3</v>
      </c>
    </row>
    <row r="116" spans="1:5" ht="12.75">
      <c r="A116" s="46" t="s">
        <v>114</v>
      </c>
      <c r="B116" s="26">
        <f>SUM(B117:B127)</f>
        <v>25263</v>
      </c>
      <c r="C116" s="26">
        <f>SUM(C117:C127)</f>
        <v>5463</v>
      </c>
      <c r="D116" s="26">
        <f>SUM(D117:D127)</f>
        <v>5428</v>
      </c>
      <c r="E116" s="15">
        <f t="shared" si="4"/>
        <v>99.4</v>
      </c>
    </row>
    <row r="117" spans="1:5" ht="22.5">
      <c r="A117" s="51" t="s">
        <v>115</v>
      </c>
      <c r="B117" s="32">
        <v>3000</v>
      </c>
      <c r="C117" s="32">
        <v>500</v>
      </c>
      <c r="D117" s="32">
        <v>500</v>
      </c>
      <c r="E117" s="4">
        <f t="shared" si="4"/>
        <v>100</v>
      </c>
    </row>
    <row r="118" spans="1:5" ht="12.75">
      <c r="A118" s="51" t="s">
        <v>116</v>
      </c>
      <c r="B118" s="32">
        <v>2000</v>
      </c>
      <c r="C118" s="32"/>
      <c r="D118" s="32"/>
      <c r="E118" s="4"/>
    </row>
    <row r="119" spans="1:5" ht="22.5">
      <c r="A119" s="51" t="s">
        <v>117</v>
      </c>
      <c r="B119" s="32">
        <v>689</v>
      </c>
      <c r="C119" s="32">
        <v>689</v>
      </c>
      <c r="D119" s="32">
        <v>689</v>
      </c>
      <c r="E119" s="4">
        <f aca="true" t="shared" si="5" ref="E119:E124">ROUND(D119/C119*100,1)</f>
        <v>100</v>
      </c>
    </row>
    <row r="120" spans="1:5" ht="12.75">
      <c r="A120" s="42" t="s">
        <v>118</v>
      </c>
      <c r="B120" s="19">
        <v>200</v>
      </c>
      <c r="C120" s="19">
        <v>100</v>
      </c>
      <c r="D120" s="34">
        <f>ROUND(100940.3/1000,0)</f>
        <v>101</v>
      </c>
      <c r="E120" s="4">
        <f t="shared" si="5"/>
        <v>101</v>
      </c>
    </row>
    <row r="121" spans="1:5" ht="12.75">
      <c r="A121" s="33" t="s">
        <v>119</v>
      </c>
      <c r="B121" s="19">
        <v>700</v>
      </c>
      <c r="C121" s="19">
        <v>690</v>
      </c>
      <c r="D121" s="34">
        <v>690</v>
      </c>
      <c r="E121" s="4">
        <f t="shared" si="5"/>
        <v>100</v>
      </c>
    </row>
    <row r="122" spans="1:5" ht="12.75">
      <c r="A122" s="33" t="s">
        <v>120</v>
      </c>
      <c r="B122" s="19">
        <v>300</v>
      </c>
      <c r="C122" s="19">
        <v>270</v>
      </c>
      <c r="D122" s="34">
        <f>ROUND(270381.45/1000,0)</f>
        <v>270</v>
      </c>
      <c r="E122" s="4">
        <f t="shared" si="5"/>
        <v>100</v>
      </c>
    </row>
    <row r="123" spans="1:5" ht="12.75">
      <c r="A123" s="42" t="s">
        <v>121</v>
      </c>
      <c r="B123" s="19">
        <v>100</v>
      </c>
      <c r="C123" s="19">
        <v>50</v>
      </c>
      <c r="D123" s="34">
        <v>50</v>
      </c>
      <c r="E123" s="4">
        <f t="shared" si="5"/>
        <v>100</v>
      </c>
    </row>
    <row r="124" spans="1:5" ht="22.5">
      <c r="A124" s="42" t="s">
        <v>122</v>
      </c>
      <c r="B124" s="19"/>
      <c r="C124" s="19">
        <v>78</v>
      </c>
      <c r="D124" s="34">
        <v>78</v>
      </c>
      <c r="E124" s="4">
        <f t="shared" si="5"/>
        <v>100</v>
      </c>
    </row>
    <row r="125" spans="1:5" ht="22.5">
      <c r="A125" s="42" t="s">
        <v>260</v>
      </c>
      <c r="B125" s="19">
        <v>200</v>
      </c>
      <c r="C125" s="19"/>
      <c r="D125" s="34"/>
      <c r="E125" s="4"/>
    </row>
    <row r="126" spans="1:5" ht="12.75">
      <c r="A126" s="42" t="s">
        <v>123</v>
      </c>
      <c r="B126" s="19">
        <v>17700</v>
      </c>
      <c r="C126" s="19">
        <v>2350</v>
      </c>
      <c r="D126" s="34">
        <f>ROUND(2314278.2/1000,0)</f>
        <v>2314</v>
      </c>
      <c r="E126" s="4">
        <f aca="true" t="shared" si="6" ref="E126:E138">ROUND(D126/C126*100,1)</f>
        <v>98.5</v>
      </c>
    </row>
    <row r="127" spans="1:5" ht="12.75">
      <c r="A127" s="42" t="s">
        <v>124</v>
      </c>
      <c r="B127" s="19">
        <v>374</v>
      </c>
      <c r="C127" s="19">
        <v>736</v>
      </c>
      <c r="D127" s="34">
        <f>ROUND(735826.83/1000,0)</f>
        <v>736</v>
      </c>
      <c r="E127" s="4">
        <f t="shared" si="6"/>
        <v>100</v>
      </c>
    </row>
    <row r="128" spans="1:5" ht="12.75">
      <c r="A128" s="52" t="s">
        <v>125</v>
      </c>
      <c r="B128" s="26">
        <f>SUM(B129,B130)</f>
        <v>26449</v>
      </c>
      <c r="C128" s="26">
        <f>SUM(C129,C130)</f>
        <v>6511</v>
      </c>
      <c r="D128" s="26">
        <f>SUM(D129,D130)</f>
        <v>6511</v>
      </c>
      <c r="E128" s="15">
        <f t="shared" si="6"/>
        <v>100</v>
      </c>
    </row>
    <row r="129" spans="1:5" ht="12.75">
      <c r="A129" s="42" t="s">
        <v>126</v>
      </c>
      <c r="B129" s="19">
        <v>25000</v>
      </c>
      <c r="C129" s="19">
        <v>5000</v>
      </c>
      <c r="D129" s="34">
        <v>5000</v>
      </c>
      <c r="E129" s="4">
        <f t="shared" si="6"/>
        <v>100</v>
      </c>
    </row>
    <row r="130" spans="1:5" ht="12.75">
      <c r="A130" s="37" t="s">
        <v>127</v>
      </c>
      <c r="B130" s="22">
        <v>1449</v>
      </c>
      <c r="C130" s="22">
        <f>ROUND(1510800/1000,0)</f>
        <v>1511</v>
      </c>
      <c r="D130" s="22">
        <f>ROUND(1510800/1000,0)</f>
        <v>1511</v>
      </c>
      <c r="E130" s="4">
        <f t="shared" si="6"/>
        <v>100</v>
      </c>
    </row>
    <row r="131" spans="1:5" ht="12.75">
      <c r="A131" s="37" t="s">
        <v>128</v>
      </c>
      <c r="B131" s="32">
        <v>1372</v>
      </c>
      <c r="C131" s="32">
        <v>1372</v>
      </c>
      <c r="D131" s="22">
        <v>1372</v>
      </c>
      <c r="E131" s="4">
        <f t="shared" si="6"/>
        <v>100</v>
      </c>
    </row>
    <row r="132" spans="1:5" ht="12.75">
      <c r="A132" s="37" t="s">
        <v>129</v>
      </c>
      <c r="B132" s="32">
        <v>77</v>
      </c>
      <c r="C132" s="32">
        <v>77</v>
      </c>
      <c r="D132" s="22">
        <v>77</v>
      </c>
      <c r="E132" s="4">
        <f t="shared" si="6"/>
        <v>100</v>
      </c>
    </row>
    <row r="133" spans="1:5" ht="12.75">
      <c r="A133" s="37" t="s">
        <v>130</v>
      </c>
      <c r="B133" s="32"/>
      <c r="C133" s="32">
        <f>ROUND(61800/1000,0)</f>
        <v>62</v>
      </c>
      <c r="D133" s="32">
        <f>ROUND(61800/1000,0)</f>
        <v>62</v>
      </c>
      <c r="E133" s="4">
        <f t="shared" si="6"/>
        <v>100</v>
      </c>
    </row>
    <row r="134" spans="1:5" ht="12.75">
      <c r="A134" s="52" t="s">
        <v>131</v>
      </c>
      <c r="B134" s="26">
        <f>SUM(B135:B138)</f>
        <v>396</v>
      </c>
      <c r="C134" s="26">
        <f>SUM(C135:C138)</f>
        <v>362</v>
      </c>
      <c r="D134" s="26">
        <f>SUM(D135:D138)</f>
        <v>353</v>
      </c>
      <c r="E134" s="15">
        <f t="shared" si="6"/>
        <v>97.5</v>
      </c>
    </row>
    <row r="135" spans="1:5" ht="12.75">
      <c r="A135" s="51" t="s">
        <v>132</v>
      </c>
      <c r="B135" s="53">
        <v>200</v>
      </c>
      <c r="C135" s="53">
        <v>97</v>
      </c>
      <c r="D135" s="53">
        <f>ROUND(88460/1000,0)</f>
        <v>88</v>
      </c>
      <c r="E135" s="4">
        <f t="shared" si="6"/>
        <v>90.7</v>
      </c>
    </row>
    <row r="136" spans="1:5" ht="22.5">
      <c r="A136" s="51" t="s">
        <v>133</v>
      </c>
      <c r="B136" s="53"/>
      <c r="C136" s="53">
        <f>ROUND(160500/1000,0)</f>
        <v>161</v>
      </c>
      <c r="D136" s="53">
        <f>ROUND(160500/1000,0)</f>
        <v>161</v>
      </c>
      <c r="E136" s="4">
        <f t="shared" si="6"/>
        <v>100</v>
      </c>
    </row>
    <row r="137" spans="1:5" ht="12.75">
      <c r="A137" s="38" t="s">
        <v>134</v>
      </c>
      <c r="B137" s="19">
        <v>40</v>
      </c>
      <c r="C137" s="19">
        <v>40</v>
      </c>
      <c r="D137" s="19">
        <v>40</v>
      </c>
      <c r="E137" s="4">
        <f t="shared" si="6"/>
        <v>100</v>
      </c>
    </row>
    <row r="138" spans="1:5" ht="22.5">
      <c r="A138" s="54" t="s">
        <v>135</v>
      </c>
      <c r="B138" s="53">
        <v>156</v>
      </c>
      <c r="C138" s="53">
        <f>ROUND(63900/1000,0)</f>
        <v>64</v>
      </c>
      <c r="D138" s="53">
        <f>ROUND(63900/1000,0)</f>
        <v>64</v>
      </c>
      <c r="E138" s="4">
        <f t="shared" si="6"/>
        <v>100</v>
      </c>
    </row>
    <row r="139" spans="1:5" ht="12.75">
      <c r="A139" s="43" t="s">
        <v>136</v>
      </c>
      <c r="B139" s="27">
        <f>SUM(B140:B141)</f>
        <v>228</v>
      </c>
      <c r="C139" s="27">
        <f>SUM(C140:C141)</f>
        <v>35</v>
      </c>
      <c r="D139" s="53"/>
      <c r="E139" s="4"/>
    </row>
    <row r="140" spans="1:5" ht="32.25" customHeight="1">
      <c r="A140" s="51" t="s">
        <v>137</v>
      </c>
      <c r="B140" s="53">
        <v>150</v>
      </c>
      <c r="C140" s="53">
        <v>35</v>
      </c>
      <c r="D140" s="53"/>
      <c r="E140" s="4"/>
    </row>
    <row r="141" spans="1:5" ht="28.5" customHeight="1">
      <c r="A141" s="51" t="s">
        <v>138</v>
      </c>
      <c r="B141" s="53">
        <v>78</v>
      </c>
      <c r="C141" s="53"/>
      <c r="D141" s="53"/>
      <c r="E141" s="4"/>
    </row>
    <row r="142" spans="1:5" ht="12.75">
      <c r="A142" s="52" t="s">
        <v>139</v>
      </c>
      <c r="B142" s="26">
        <f>SUM(B143)</f>
        <v>200</v>
      </c>
      <c r="C142" s="26">
        <f>SUM(C143)</f>
        <v>551</v>
      </c>
      <c r="D142" s="26">
        <f>SUM(D143)</f>
        <v>551</v>
      </c>
      <c r="E142" s="15">
        <f aca="true" t="shared" si="7" ref="E142:E153">ROUND(D142/C142*100,1)</f>
        <v>100</v>
      </c>
    </row>
    <row r="143" spans="1:5" ht="12.75">
      <c r="A143" s="42" t="s">
        <v>140</v>
      </c>
      <c r="B143" s="19">
        <v>200</v>
      </c>
      <c r="C143" s="19">
        <f>ROUND(551250/1000,0)</f>
        <v>551</v>
      </c>
      <c r="D143" s="34">
        <f>ROUND(551236/1000,0)</f>
        <v>551</v>
      </c>
      <c r="E143" s="4">
        <f t="shared" si="7"/>
        <v>100</v>
      </c>
    </row>
    <row r="144" spans="1:5" ht="12.75">
      <c r="A144" s="52" t="s">
        <v>141</v>
      </c>
      <c r="B144" s="26">
        <f>SUM(B145:B147)</f>
        <v>1800</v>
      </c>
      <c r="C144" s="26">
        <f>SUM(C145:C147)</f>
        <v>844</v>
      </c>
      <c r="D144" s="26">
        <f>SUM(D145:D147)</f>
        <v>857</v>
      </c>
      <c r="E144" s="15">
        <f t="shared" si="7"/>
        <v>101.5</v>
      </c>
    </row>
    <row r="145" spans="1:5" ht="22.5">
      <c r="A145" s="42" t="s">
        <v>142</v>
      </c>
      <c r="B145" s="19">
        <v>1250</v>
      </c>
      <c r="C145" s="19">
        <v>750</v>
      </c>
      <c r="D145" s="34">
        <f>ROUND(763288.37/1000,0)</f>
        <v>763</v>
      </c>
      <c r="E145" s="4">
        <f t="shared" si="7"/>
        <v>101.7</v>
      </c>
    </row>
    <row r="146" spans="1:5" ht="12.75">
      <c r="A146" s="38" t="s">
        <v>143</v>
      </c>
      <c r="B146" s="19">
        <v>100</v>
      </c>
      <c r="C146" s="19"/>
      <c r="D146" s="19"/>
      <c r="E146" s="4"/>
    </row>
    <row r="147" spans="1:5" ht="12.75">
      <c r="A147" s="38" t="s">
        <v>144</v>
      </c>
      <c r="B147" s="19">
        <v>450</v>
      </c>
      <c r="C147" s="19">
        <f>ROUND(94400/1000,0)</f>
        <v>94</v>
      </c>
      <c r="D147" s="19">
        <f>ROUND(94400/1000,0)</f>
        <v>94</v>
      </c>
      <c r="E147" s="4">
        <f t="shared" si="7"/>
        <v>100</v>
      </c>
    </row>
    <row r="148" spans="1:5" ht="12.75">
      <c r="A148" s="41" t="s">
        <v>145</v>
      </c>
      <c r="B148" s="26">
        <f>SUM(B149:B150)</f>
        <v>246</v>
      </c>
      <c r="C148" s="26">
        <f>SUM(C149:C150)</f>
        <v>274</v>
      </c>
      <c r="D148" s="26">
        <f>SUM(D149:D150)</f>
        <v>280</v>
      </c>
      <c r="E148" s="15">
        <f t="shared" si="7"/>
        <v>102.2</v>
      </c>
    </row>
    <row r="149" spans="1:5" ht="12.75">
      <c r="A149" s="55" t="s">
        <v>146</v>
      </c>
      <c r="B149" s="32">
        <v>246</v>
      </c>
      <c r="C149" s="32">
        <f>ROUND(220191/1000,0)</f>
        <v>220</v>
      </c>
      <c r="D149" s="32">
        <f>ROUND(225591.4/1000,0)</f>
        <v>226</v>
      </c>
      <c r="E149" s="4">
        <f t="shared" si="7"/>
        <v>102.7</v>
      </c>
    </row>
    <row r="150" spans="1:5" ht="22.5">
      <c r="A150" s="56" t="s">
        <v>147</v>
      </c>
      <c r="B150" s="32"/>
      <c r="C150" s="32">
        <f>ROUND(53690/1000,0)</f>
        <v>54</v>
      </c>
      <c r="D150" s="32">
        <f>ROUND(53690/1000,0)</f>
        <v>54</v>
      </c>
      <c r="E150" s="4">
        <f t="shared" si="7"/>
        <v>100</v>
      </c>
    </row>
    <row r="151" spans="1:5" ht="12.75">
      <c r="A151" s="41" t="s">
        <v>148</v>
      </c>
      <c r="B151" s="26">
        <f>SUM(B152:B154)</f>
        <v>24350</v>
      </c>
      <c r="C151" s="26">
        <f>SUM(C152:C154)</f>
        <v>17500</v>
      </c>
      <c r="D151" s="26">
        <f>SUM(D152:D154)</f>
        <v>17352</v>
      </c>
      <c r="E151" s="15">
        <f t="shared" si="7"/>
        <v>99.2</v>
      </c>
    </row>
    <row r="152" spans="1:5" ht="12.75">
      <c r="A152" s="35" t="s">
        <v>149</v>
      </c>
      <c r="B152" s="19">
        <v>24200</v>
      </c>
      <c r="C152" s="19">
        <f>ROUND(17405700/1000,0)</f>
        <v>17406</v>
      </c>
      <c r="D152" s="19">
        <v>17258</v>
      </c>
      <c r="E152" s="4">
        <f t="shared" si="7"/>
        <v>99.1</v>
      </c>
    </row>
    <row r="153" spans="1:5" ht="12.75">
      <c r="A153" s="35" t="s">
        <v>150</v>
      </c>
      <c r="B153" s="19"/>
      <c r="C153" s="19">
        <v>94</v>
      </c>
      <c r="D153" s="19">
        <f>ROUND(93996/1000,0)</f>
        <v>94</v>
      </c>
      <c r="E153" s="4">
        <f t="shared" si="7"/>
        <v>100</v>
      </c>
    </row>
    <row r="154" spans="1:5" ht="12.75">
      <c r="A154" s="35" t="s">
        <v>151</v>
      </c>
      <c r="B154" s="19">
        <v>150</v>
      </c>
      <c r="C154" s="19"/>
      <c r="D154" s="19"/>
      <c r="E154" s="4"/>
    </row>
    <row r="155" spans="1:5" ht="12.75">
      <c r="A155" s="46" t="s">
        <v>152</v>
      </c>
      <c r="B155" s="26">
        <f>SUM(B156:B159)</f>
        <v>4502</v>
      </c>
      <c r="C155" s="26">
        <f>SUM(C156:C159)</f>
        <v>4312</v>
      </c>
      <c r="D155" s="26">
        <f>SUM(D156:D159)</f>
        <v>4265</v>
      </c>
      <c r="E155" s="15">
        <f aca="true" t="shared" si="8" ref="E155:E162">ROUND(D155/C155*100,1)</f>
        <v>98.9</v>
      </c>
    </row>
    <row r="156" spans="1:5" ht="12.75">
      <c r="A156" s="38" t="s">
        <v>153</v>
      </c>
      <c r="B156" s="22">
        <v>700</v>
      </c>
      <c r="C156" s="22">
        <v>700</v>
      </c>
      <c r="D156" s="22">
        <f>ROUND(653115/1000,0)</f>
        <v>653</v>
      </c>
      <c r="E156" s="4">
        <f t="shared" si="8"/>
        <v>93.3</v>
      </c>
    </row>
    <row r="157" spans="1:5" ht="12.75">
      <c r="A157" s="57" t="s">
        <v>154</v>
      </c>
      <c r="B157" s="32">
        <v>2000</v>
      </c>
      <c r="C157" s="32">
        <v>1800</v>
      </c>
      <c r="D157" s="32">
        <v>1800</v>
      </c>
      <c r="E157" s="4">
        <f t="shared" si="8"/>
        <v>100</v>
      </c>
    </row>
    <row r="158" spans="1:5" ht="12.75">
      <c r="A158" s="36" t="s">
        <v>155</v>
      </c>
      <c r="B158" s="32">
        <v>1602</v>
      </c>
      <c r="C158" s="32">
        <v>1602</v>
      </c>
      <c r="D158" s="32">
        <v>1602</v>
      </c>
      <c r="E158" s="4">
        <f t="shared" si="8"/>
        <v>100</v>
      </c>
    </row>
    <row r="159" spans="1:5" ht="12.75">
      <c r="A159" s="36" t="s">
        <v>156</v>
      </c>
      <c r="B159" s="32">
        <v>200</v>
      </c>
      <c r="C159" s="32">
        <f>ROUND(209716/1000,0)</f>
        <v>210</v>
      </c>
      <c r="D159" s="32">
        <f>ROUND(209716/1000,0)</f>
        <v>210</v>
      </c>
      <c r="E159" s="4">
        <f t="shared" si="8"/>
        <v>100</v>
      </c>
    </row>
    <row r="160" spans="1:5" ht="12.75">
      <c r="A160" s="46" t="s">
        <v>157</v>
      </c>
      <c r="B160" s="26">
        <f>SUM(B161:B162)</f>
        <v>3000</v>
      </c>
      <c r="C160" s="26">
        <f>SUM(C161:C162)</f>
        <v>470</v>
      </c>
      <c r="D160" s="26">
        <f>SUM(D161:D162)</f>
        <v>469</v>
      </c>
      <c r="E160" s="15">
        <f t="shared" si="8"/>
        <v>99.8</v>
      </c>
    </row>
    <row r="161" spans="1:5" ht="12.75">
      <c r="A161" s="57" t="s">
        <v>158</v>
      </c>
      <c r="B161" s="32">
        <v>3000</v>
      </c>
      <c r="C161" s="32">
        <f>ROUND(270000/1000,0)</f>
        <v>270</v>
      </c>
      <c r="D161" s="53">
        <f>ROUND(268625/1000,0)</f>
        <v>269</v>
      </c>
      <c r="E161" s="4">
        <f t="shared" si="8"/>
        <v>99.6</v>
      </c>
    </row>
    <row r="162" spans="1:5" ht="12.75">
      <c r="A162" s="36" t="s">
        <v>159</v>
      </c>
      <c r="B162" s="32"/>
      <c r="C162" s="32">
        <v>200</v>
      </c>
      <c r="D162" s="32">
        <v>200</v>
      </c>
      <c r="E162" s="4">
        <f t="shared" si="8"/>
        <v>100</v>
      </c>
    </row>
    <row r="163" spans="1:5" ht="12.75">
      <c r="A163" s="45" t="s">
        <v>160</v>
      </c>
      <c r="B163" s="26">
        <f>SUM(B164)</f>
        <v>300</v>
      </c>
      <c r="C163" s="32"/>
      <c r="D163" s="32"/>
      <c r="E163" s="4"/>
    </row>
    <row r="164" spans="1:5" ht="12.75">
      <c r="A164" s="57" t="s">
        <v>161</v>
      </c>
      <c r="B164" s="32">
        <v>300</v>
      </c>
      <c r="C164" s="32"/>
      <c r="D164" s="53"/>
      <c r="E164" s="4"/>
    </row>
    <row r="165" spans="1:5" ht="12.75">
      <c r="A165" s="5" t="s">
        <v>162</v>
      </c>
      <c r="B165" s="26">
        <f>SUM(B166)</f>
        <v>100</v>
      </c>
      <c r="C165" s="26">
        <f>SUM(C166)</f>
        <v>80</v>
      </c>
      <c r="D165" s="26">
        <f>SUM(D166)</f>
        <v>80</v>
      </c>
      <c r="E165" s="15">
        <f aca="true" t="shared" si="9" ref="E165:E179">ROUND(D165/C165*100,1)</f>
        <v>100</v>
      </c>
    </row>
    <row r="166" spans="1:5" ht="22.5">
      <c r="A166" s="54" t="s">
        <v>163</v>
      </c>
      <c r="B166" s="32">
        <v>100</v>
      </c>
      <c r="C166" s="32">
        <v>80</v>
      </c>
      <c r="D166" s="32">
        <v>80</v>
      </c>
      <c r="E166" s="4">
        <f t="shared" si="9"/>
        <v>100</v>
      </c>
    </row>
    <row r="167" spans="1:5" ht="12.75">
      <c r="A167" s="44" t="s">
        <v>164</v>
      </c>
      <c r="B167" s="26">
        <f>SUM(B168)</f>
        <v>500</v>
      </c>
      <c r="C167" s="26">
        <f>SUM(C168)</f>
        <v>610</v>
      </c>
      <c r="D167" s="26">
        <f>SUM(D168)</f>
        <v>593</v>
      </c>
      <c r="E167" s="15">
        <f t="shared" si="9"/>
        <v>97.2</v>
      </c>
    </row>
    <row r="168" spans="1:5" ht="12.75">
      <c r="A168" s="55" t="s">
        <v>165</v>
      </c>
      <c r="B168" s="32">
        <v>500</v>
      </c>
      <c r="C168" s="32">
        <v>610</v>
      </c>
      <c r="D168" s="32">
        <f>ROUND(593420/1000,0)</f>
        <v>593</v>
      </c>
      <c r="E168" s="4">
        <f t="shared" si="9"/>
        <v>97.2</v>
      </c>
    </row>
    <row r="169" spans="1:5" ht="12.75">
      <c r="A169" s="16" t="s">
        <v>166</v>
      </c>
      <c r="B169" s="17">
        <f>SUM(B170,B187,B188,B190,B198,B200,B203)</f>
        <v>146028</v>
      </c>
      <c r="C169" s="17">
        <f>SUM(C170,C187,C188,C190,C198,C200,C203)</f>
        <v>134715</v>
      </c>
      <c r="D169" s="17">
        <f>SUM(D170,D187,D188,D190,D198,D200,D203)</f>
        <v>135611</v>
      </c>
      <c r="E169" s="18">
        <f t="shared" si="9"/>
        <v>100.7</v>
      </c>
    </row>
    <row r="170" spans="1:5" ht="12.75">
      <c r="A170" s="45" t="s">
        <v>167</v>
      </c>
      <c r="B170" s="47">
        <f>SUM(B171:B183)</f>
        <v>72478</v>
      </c>
      <c r="C170" s="47">
        <f>SUM(C171:C186)</f>
        <v>59462</v>
      </c>
      <c r="D170" s="47">
        <f>SUM(D171:D186)</f>
        <v>58878</v>
      </c>
      <c r="E170" s="4">
        <f t="shared" si="9"/>
        <v>99</v>
      </c>
    </row>
    <row r="171" spans="1:5" ht="12.75">
      <c r="A171" s="57" t="s">
        <v>168</v>
      </c>
      <c r="B171" s="19">
        <v>19200</v>
      </c>
      <c r="C171" s="19">
        <v>17500</v>
      </c>
      <c r="D171" s="53">
        <f>ROUND(17481546/1000,0)</f>
        <v>17482</v>
      </c>
      <c r="E171" s="4">
        <f t="shared" si="9"/>
        <v>99.9</v>
      </c>
    </row>
    <row r="172" spans="1:5" ht="33.75" customHeight="1">
      <c r="A172" s="57" t="s">
        <v>169</v>
      </c>
      <c r="B172" s="53">
        <v>38778</v>
      </c>
      <c r="C172" s="53">
        <f>ROUND(33970300/1000,0)</f>
        <v>33970</v>
      </c>
      <c r="D172" s="53">
        <f>ROUND(33414379.4/1000,0)</f>
        <v>33414</v>
      </c>
      <c r="E172" s="4">
        <f t="shared" si="9"/>
        <v>98.4</v>
      </c>
    </row>
    <row r="173" spans="1:5" ht="12.75">
      <c r="A173" s="58" t="s">
        <v>170</v>
      </c>
      <c r="B173" s="53">
        <v>800</v>
      </c>
      <c r="C173" s="53">
        <f>ROUND(572700/1000,0)</f>
        <v>573</v>
      </c>
      <c r="D173" s="53">
        <f>ROUND(572649.35/1000,0)</f>
        <v>573</v>
      </c>
      <c r="E173" s="4">
        <f t="shared" si="9"/>
        <v>100</v>
      </c>
    </row>
    <row r="174" spans="1:5" ht="12.75">
      <c r="A174" s="3" t="s">
        <v>171</v>
      </c>
      <c r="B174" s="53">
        <v>600</v>
      </c>
      <c r="C174" s="53">
        <v>470</v>
      </c>
      <c r="D174" s="53">
        <v>466</v>
      </c>
      <c r="E174" s="4">
        <f t="shared" si="9"/>
        <v>99.1</v>
      </c>
    </row>
    <row r="175" spans="1:5" ht="12.75">
      <c r="A175" s="3" t="s">
        <v>172</v>
      </c>
      <c r="B175" s="53">
        <v>400</v>
      </c>
      <c r="C175" s="53">
        <v>320</v>
      </c>
      <c r="D175" s="53">
        <v>316</v>
      </c>
      <c r="E175" s="4">
        <f t="shared" si="9"/>
        <v>98.8</v>
      </c>
    </row>
    <row r="176" spans="1:5" ht="12.75">
      <c r="A176" s="58" t="s">
        <v>173</v>
      </c>
      <c r="B176" s="53">
        <v>600</v>
      </c>
      <c r="C176" s="53">
        <v>845</v>
      </c>
      <c r="D176" s="53">
        <f>ROUND(843816/1000,0)</f>
        <v>844</v>
      </c>
      <c r="E176" s="4">
        <f t="shared" si="9"/>
        <v>99.9</v>
      </c>
    </row>
    <row r="177" spans="1:5" ht="12.75">
      <c r="A177" s="59" t="s">
        <v>174</v>
      </c>
      <c r="B177" s="53">
        <v>1500</v>
      </c>
      <c r="C177" s="53">
        <v>1240</v>
      </c>
      <c r="D177" s="53">
        <f>ROUND(1238894.01/1000,0)</f>
        <v>1239</v>
      </c>
      <c r="E177" s="4">
        <f t="shared" si="9"/>
        <v>99.9</v>
      </c>
    </row>
    <row r="178" spans="1:5" ht="12.75">
      <c r="A178" s="60" t="s">
        <v>257</v>
      </c>
      <c r="B178" s="53"/>
      <c r="C178" s="53">
        <f>ROUND(1206600/1000,0)</f>
        <v>1207</v>
      </c>
      <c r="D178" s="53">
        <f>ROUND(1206689/1000,0)</f>
        <v>1207</v>
      </c>
      <c r="E178" s="4">
        <f t="shared" si="9"/>
        <v>100</v>
      </c>
    </row>
    <row r="179" spans="1:5" ht="33.75">
      <c r="A179" s="60" t="s">
        <v>175</v>
      </c>
      <c r="B179" s="53">
        <v>2000</v>
      </c>
      <c r="C179" s="53">
        <f>ROUND(1528700/1000,0)</f>
        <v>1529</v>
      </c>
      <c r="D179" s="32">
        <f>ROUND(1527894/1000,0)</f>
        <v>1528</v>
      </c>
      <c r="E179" s="4">
        <f t="shared" si="9"/>
        <v>99.9</v>
      </c>
    </row>
    <row r="180" spans="1:5" ht="22.5">
      <c r="A180" s="60" t="s">
        <v>176</v>
      </c>
      <c r="B180" s="53">
        <v>8000</v>
      </c>
      <c r="C180" s="53"/>
      <c r="D180" s="32"/>
      <c r="E180" s="4"/>
    </row>
    <row r="181" spans="1:5" ht="12.75">
      <c r="A181" s="60" t="s">
        <v>177</v>
      </c>
      <c r="B181" s="53">
        <v>600</v>
      </c>
      <c r="C181" s="53"/>
      <c r="D181" s="32"/>
      <c r="E181" s="4"/>
    </row>
    <row r="182" spans="1:5" ht="22.5">
      <c r="A182" s="58" t="s">
        <v>178</v>
      </c>
      <c r="B182" s="19"/>
      <c r="C182" s="19">
        <v>810</v>
      </c>
      <c r="D182" s="34">
        <v>810</v>
      </c>
      <c r="E182" s="4">
        <f aca="true" t="shared" si="10" ref="E182:E206">ROUND(D182/C182*100,1)</f>
        <v>100</v>
      </c>
    </row>
    <row r="183" spans="1:5" ht="12.75">
      <c r="A183" s="3" t="s">
        <v>179</v>
      </c>
      <c r="B183" s="19"/>
      <c r="C183" s="19">
        <f>ROUND(421875/1000,0)</f>
        <v>422</v>
      </c>
      <c r="D183" s="34">
        <f>ROUND(421875/1000,0)</f>
        <v>422</v>
      </c>
      <c r="E183" s="4">
        <f t="shared" si="10"/>
        <v>100</v>
      </c>
    </row>
    <row r="184" spans="1:5" ht="12.75">
      <c r="A184" s="3" t="s">
        <v>64</v>
      </c>
      <c r="B184" s="19"/>
      <c r="C184" s="19">
        <v>182</v>
      </c>
      <c r="D184" s="34">
        <v>183</v>
      </c>
      <c r="E184" s="4">
        <f t="shared" si="10"/>
        <v>100.5</v>
      </c>
    </row>
    <row r="185" spans="1:5" ht="12.75">
      <c r="A185" s="3" t="s">
        <v>196</v>
      </c>
      <c r="B185" s="19"/>
      <c r="C185" s="19">
        <v>325</v>
      </c>
      <c r="D185" s="34">
        <v>325</v>
      </c>
      <c r="E185" s="4">
        <f t="shared" si="10"/>
        <v>100</v>
      </c>
    </row>
    <row r="186" spans="1:5" ht="12.75">
      <c r="A186" s="3" t="s">
        <v>258</v>
      </c>
      <c r="B186" s="19"/>
      <c r="C186" s="19">
        <v>69</v>
      </c>
      <c r="D186" s="34">
        <v>69</v>
      </c>
      <c r="E186" s="4">
        <f t="shared" si="10"/>
        <v>100</v>
      </c>
    </row>
    <row r="187" spans="1:5" ht="12.75">
      <c r="A187" s="117" t="s">
        <v>259</v>
      </c>
      <c r="B187" s="28"/>
      <c r="C187" s="28">
        <v>81</v>
      </c>
      <c r="D187" s="40">
        <v>81</v>
      </c>
      <c r="E187" s="118">
        <f t="shared" si="10"/>
        <v>100</v>
      </c>
    </row>
    <row r="188" spans="1:5" ht="12.75">
      <c r="A188" s="45" t="s">
        <v>180</v>
      </c>
      <c r="B188" s="27">
        <f>SUM(B189)</f>
        <v>12850</v>
      </c>
      <c r="C188" s="27">
        <f>SUM(C189)</f>
        <v>12389</v>
      </c>
      <c r="D188" s="27">
        <f>SUM(D189)</f>
        <v>10227</v>
      </c>
      <c r="E188" s="15">
        <f t="shared" si="10"/>
        <v>82.5</v>
      </c>
    </row>
    <row r="189" spans="1:5" ht="21.75" customHeight="1">
      <c r="A189" s="55" t="s">
        <v>181</v>
      </c>
      <c r="B189" s="32">
        <v>12850</v>
      </c>
      <c r="C189" s="32">
        <v>12389</v>
      </c>
      <c r="D189" s="32">
        <f>ROUND(10227409.03/1000,0)</f>
        <v>10227</v>
      </c>
      <c r="E189" s="4">
        <f t="shared" si="10"/>
        <v>82.5</v>
      </c>
    </row>
    <row r="190" spans="1:5" ht="12.75">
      <c r="A190" s="44" t="s">
        <v>182</v>
      </c>
      <c r="B190" s="26">
        <f>SUM(B191:B197)</f>
        <v>9200</v>
      </c>
      <c r="C190" s="26">
        <f>SUM(C191:C197)</f>
        <v>8196</v>
      </c>
      <c r="D190" s="26">
        <f>SUM(D191:D197)</f>
        <v>7494</v>
      </c>
      <c r="E190" s="15">
        <f t="shared" si="10"/>
        <v>91.4</v>
      </c>
    </row>
    <row r="191" spans="1:5" ht="22.5">
      <c r="A191" s="58" t="s">
        <v>183</v>
      </c>
      <c r="B191" s="32">
        <v>3000</v>
      </c>
      <c r="C191" s="32">
        <v>2375</v>
      </c>
      <c r="D191" s="32">
        <f>ROUND(1661910.8/1000,0)</f>
        <v>1662</v>
      </c>
      <c r="E191" s="4">
        <f t="shared" si="10"/>
        <v>70</v>
      </c>
    </row>
    <row r="192" spans="1:5" ht="22.5">
      <c r="A192" s="58" t="s">
        <v>184</v>
      </c>
      <c r="B192" s="32">
        <v>1000</v>
      </c>
      <c r="C192" s="32">
        <f>ROUND(627300/1000,0)</f>
        <v>627</v>
      </c>
      <c r="D192" s="32">
        <f>ROUND(634859/1000,0)</f>
        <v>635</v>
      </c>
      <c r="E192" s="4">
        <f t="shared" si="10"/>
        <v>101.3</v>
      </c>
    </row>
    <row r="193" spans="1:5" ht="22.5">
      <c r="A193" s="58" t="s">
        <v>185</v>
      </c>
      <c r="B193" s="32">
        <v>1900</v>
      </c>
      <c r="C193" s="32">
        <v>1570</v>
      </c>
      <c r="D193" s="32">
        <f>ROUND(1571972/1000,0)</f>
        <v>1572</v>
      </c>
      <c r="E193" s="4">
        <f t="shared" si="10"/>
        <v>100.1</v>
      </c>
    </row>
    <row r="194" spans="1:5" ht="12.75">
      <c r="A194" s="58" t="s">
        <v>186</v>
      </c>
      <c r="B194" s="32">
        <v>150</v>
      </c>
      <c r="C194" s="32">
        <v>90</v>
      </c>
      <c r="D194" s="32">
        <v>90</v>
      </c>
      <c r="E194" s="4">
        <f t="shared" si="10"/>
        <v>100</v>
      </c>
    </row>
    <row r="195" spans="1:5" ht="12.75">
      <c r="A195" s="58" t="s">
        <v>187</v>
      </c>
      <c r="B195" s="32">
        <v>650</v>
      </c>
      <c r="C195" s="32">
        <v>870</v>
      </c>
      <c r="D195" s="32">
        <f>ROUND(870045.55/1000,0)</f>
        <v>870</v>
      </c>
      <c r="E195" s="4">
        <f t="shared" si="10"/>
        <v>100</v>
      </c>
    </row>
    <row r="196" spans="1:5" ht="12.75">
      <c r="A196" s="3" t="s">
        <v>188</v>
      </c>
      <c r="B196" s="32">
        <v>2500</v>
      </c>
      <c r="C196" s="32">
        <v>2180</v>
      </c>
      <c r="D196" s="32">
        <f>ROUND(2180994.1/1000,0)</f>
        <v>2181</v>
      </c>
      <c r="E196" s="4">
        <f t="shared" si="10"/>
        <v>100</v>
      </c>
    </row>
    <row r="197" spans="1:5" ht="12.75">
      <c r="A197" s="3" t="s">
        <v>64</v>
      </c>
      <c r="B197" s="32"/>
      <c r="C197" s="32">
        <v>484</v>
      </c>
      <c r="D197" s="32">
        <v>484</v>
      </c>
      <c r="E197" s="4">
        <f t="shared" si="10"/>
        <v>100</v>
      </c>
    </row>
    <row r="198" spans="1:5" ht="12.75">
      <c r="A198" s="45" t="s">
        <v>189</v>
      </c>
      <c r="B198" s="47">
        <f>SUM(B199)</f>
        <v>40000</v>
      </c>
      <c r="C198" s="47">
        <f>SUM(C199)</f>
        <v>46109</v>
      </c>
      <c r="D198" s="47">
        <f>SUM(D199)</f>
        <v>50411</v>
      </c>
      <c r="E198" s="15">
        <f t="shared" si="10"/>
        <v>109.3</v>
      </c>
    </row>
    <row r="199" spans="1:5" ht="22.5">
      <c r="A199" s="54" t="s">
        <v>190</v>
      </c>
      <c r="B199" s="19">
        <v>40000</v>
      </c>
      <c r="C199" s="19">
        <f>ROUND(46108646/1000,0)</f>
        <v>46109</v>
      </c>
      <c r="D199" s="19">
        <f>ROUND(50411403.1/1000,0)</f>
        <v>50411</v>
      </c>
      <c r="E199" s="4">
        <f t="shared" si="10"/>
        <v>109.3</v>
      </c>
    </row>
    <row r="200" spans="1:5" ht="12.75">
      <c r="A200" s="45" t="s">
        <v>191</v>
      </c>
      <c r="B200" s="26">
        <f>SUM(B201:B202)</f>
        <v>3000</v>
      </c>
      <c r="C200" s="26">
        <f>SUM(C201:C202)</f>
        <v>2930</v>
      </c>
      <c r="D200" s="26">
        <f>SUM(D201:D202)</f>
        <v>2930</v>
      </c>
      <c r="E200" s="15">
        <f t="shared" si="10"/>
        <v>100</v>
      </c>
    </row>
    <row r="201" spans="1:5" ht="22.5">
      <c r="A201" s="61" t="s">
        <v>192</v>
      </c>
      <c r="B201" s="62">
        <v>2301</v>
      </c>
      <c r="C201" s="62">
        <v>2301</v>
      </c>
      <c r="D201" s="62">
        <v>2301</v>
      </c>
      <c r="E201" s="4">
        <f t="shared" si="10"/>
        <v>100</v>
      </c>
    </row>
    <row r="202" spans="1:5" ht="22.5">
      <c r="A202" s="61" t="s">
        <v>193</v>
      </c>
      <c r="B202" s="63">
        <v>699</v>
      </c>
      <c r="C202" s="64">
        <f>ROUND(629100/1000,0)</f>
        <v>629</v>
      </c>
      <c r="D202" s="64">
        <f>ROUND(629100/1000,0)</f>
        <v>629</v>
      </c>
      <c r="E202" s="4">
        <f t="shared" si="10"/>
        <v>100</v>
      </c>
    </row>
    <row r="203" spans="1:5" ht="12.75">
      <c r="A203" s="44" t="s">
        <v>194</v>
      </c>
      <c r="B203" s="26">
        <f>SUM(B204:B207)</f>
        <v>8500</v>
      </c>
      <c r="C203" s="26">
        <f>SUM(C204:C207)</f>
        <v>5548</v>
      </c>
      <c r="D203" s="26">
        <f>SUM(D204:D207)</f>
        <v>5590</v>
      </c>
      <c r="E203" s="15">
        <f t="shared" si="10"/>
        <v>100.8</v>
      </c>
    </row>
    <row r="204" spans="1:5" ht="12.75">
      <c r="A204" s="38" t="s">
        <v>195</v>
      </c>
      <c r="B204" s="32">
        <v>3000</v>
      </c>
      <c r="C204" s="32">
        <v>2231</v>
      </c>
      <c r="D204" s="32">
        <v>2253</v>
      </c>
      <c r="E204" s="4">
        <f t="shared" si="10"/>
        <v>101</v>
      </c>
    </row>
    <row r="205" spans="1:5" ht="12.75">
      <c r="A205" s="38" t="s">
        <v>196</v>
      </c>
      <c r="B205" s="32">
        <v>2000</v>
      </c>
      <c r="C205" s="32">
        <v>1805</v>
      </c>
      <c r="D205" s="32">
        <v>1825</v>
      </c>
      <c r="E205" s="4">
        <f t="shared" si="10"/>
        <v>101.1</v>
      </c>
    </row>
    <row r="206" spans="1:5" ht="12.75">
      <c r="A206" s="38" t="s">
        <v>64</v>
      </c>
      <c r="B206" s="32">
        <v>3000</v>
      </c>
      <c r="C206" s="32">
        <v>1512</v>
      </c>
      <c r="D206" s="32">
        <v>1512</v>
      </c>
      <c r="E206" s="4">
        <f t="shared" si="10"/>
        <v>100</v>
      </c>
    </row>
    <row r="207" spans="1:5" ht="12.75">
      <c r="A207" s="38" t="s">
        <v>85</v>
      </c>
      <c r="B207" s="32">
        <v>500</v>
      </c>
      <c r="C207" s="32"/>
      <c r="D207" s="32"/>
      <c r="E207" s="4"/>
    </row>
    <row r="208" spans="1:5" ht="12.75">
      <c r="A208" s="16" t="s">
        <v>197</v>
      </c>
      <c r="B208" s="17">
        <f>SUM(B209,B212)</f>
        <v>22200</v>
      </c>
      <c r="C208" s="17">
        <f>SUM(C209,C212)</f>
        <v>18394</v>
      </c>
      <c r="D208" s="17">
        <f>SUM(D209,D212)</f>
        <v>18373</v>
      </c>
      <c r="E208" s="18">
        <f aca="true" t="shared" si="11" ref="E208:E213">ROUND(D208/C208*100,1)</f>
        <v>99.9</v>
      </c>
    </row>
    <row r="209" spans="1:5" ht="12.75">
      <c r="A209" s="44" t="s">
        <v>198</v>
      </c>
      <c r="B209" s="47">
        <f>SUM(B210:B211)</f>
        <v>20000</v>
      </c>
      <c r="C209" s="47">
        <f>SUM(C210:C211)</f>
        <v>18294</v>
      </c>
      <c r="D209" s="47">
        <f>SUM(D210:D211)</f>
        <v>18293</v>
      </c>
      <c r="E209" s="4">
        <f t="shared" si="11"/>
        <v>100</v>
      </c>
    </row>
    <row r="210" spans="1:5" ht="12.75">
      <c r="A210" s="57" t="s">
        <v>199</v>
      </c>
      <c r="B210" s="32">
        <v>18800</v>
      </c>
      <c r="C210" s="32">
        <f>ROUND(17094100/1000,0)</f>
        <v>17094</v>
      </c>
      <c r="D210" s="53">
        <f>ROUND(17092744.73/1000,0)</f>
        <v>17093</v>
      </c>
      <c r="E210" s="4">
        <f t="shared" si="11"/>
        <v>100</v>
      </c>
    </row>
    <row r="211" spans="1:5" ht="12.75">
      <c r="A211" s="57" t="s">
        <v>200</v>
      </c>
      <c r="B211" s="32">
        <v>1200</v>
      </c>
      <c r="C211" s="32">
        <v>1200</v>
      </c>
      <c r="D211" s="53">
        <f>ROUND(1200111/1000,0)</f>
        <v>1200</v>
      </c>
      <c r="E211" s="4">
        <f t="shared" si="11"/>
        <v>100</v>
      </c>
    </row>
    <row r="212" spans="1:5" ht="12.75">
      <c r="A212" s="45" t="s">
        <v>201</v>
      </c>
      <c r="B212" s="26">
        <f>SUM(B213:B215)</f>
        <v>2200</v>
      </c>
      <c r="C212" s="26">
        <f>SUM(C213:C215)</f>
        <v>100</v>
      </c>
      <c r="D212" s="26">
        <f>SUM(D213:D215)</f>
        <v>80</v>
      </c>
      <c r="E212" s="15">
        <f t="shared" si="11"/>
        <v>80</v>
      </c>
    </row>
    <row r="213" spans="1:5" ht="12.75">
      <c r="A213" s="57" t="s">
        <v>202</v>
      </c>
      <c r="B213" s="32">
        <v>500</v>
      </c>
      <c r="C213" s="32">
        <v>100</v>
      </c>
      <c r="D213" s="53">
        <f>ROUND(80400/1000,0)</f>
        <v>80</v>
      </c>
      <c r="E213" s="4">
        <f t="shared" si="11"/>
        <v>80</v>
      </c>
    </row>
    <row r="214" spans="1:5" ht="12.75">
      <c r="A214" s="38" t="s">
        <v>203</v>
      </c>
      <c r="B214" s="22">
        <v>1500</v>
      </c>
      <c r="C214" s="26"/>
      <c r="D214" s="26"/>
      <c r="E214" s="6"/>
    </row>
    <row r="215" spans="1:5" ht="12.75">
      <c r="A215" s="38" t="s">
        <v>204</v>
      </c>
      <c r="B215" s="22">
        <v>200</v>
      </c>
      <c r="C215" s="26"/>
      <c r="D215" s="26"/>
      <c r="E215" s="6"/>
    </row>
    <row r="216" spans="1:5" ht="12.75">
      <c r="A216" s="68"/>
      <c r="B216" s="69"/>
      <c r="C216" s="69"/>
      <c r="D216" s="69"/>
      <c r="E216" s="67"/>
    </row>
    <row r="217" spans="1:5" ht="12.75">
      <c r="A217" s="70"/>
      <c r="B217" s="69"/>
      <c r="C217" s="66"/>
      <c r="D217" s="66"/>
      <c r="E217" s="67"/>
    </row>
    <row r="218" spans="1:5" ht="12.75">
      <c r="A218" s="68"/>
      <c r="B218" s="69"/>
      <c r="C218" s="69"/>
      <c r="D218" s="69"/>
      <c r="E218" s="67"/>
    </row>
    <row r="219" spans="1:5" ht="12.75">
      <c r="A219" s="71"/>
      <c r="B219" s="66"/>
      <c r="C219" s="66"/>
      <c r="D219" s="66"/>
      <c r="E219" s="67"/>
    </row>
    <row r="220" spans="1:5" ht="12.75">
      <c r="A220" s="68"/>
      <c r="B220" s="69"/>
      <c r="C220" s="69"/>
      <c r="D220" s="69"/>
      <c r="E220" s="67"/>
    </row>
    <row r="221" spans="1:5" ht="12.75">
      <c r="A221" s="70"/>
      <c r="B221" s="66"/>
      <c r="C221" s="66"/>
      <c r="D221" s="66"/>
      <c r="E221" s="67"/>
    </row>
    <row r="222" spans="1:5" ht="12.75">
      <c r="A222" s="72"/>
      <c r="B222" s="66"/>
      <c r="C222" s="66"/>
      <c r="D222" s="66"/>
      <c r="E222" s="67"/>
    </row>
    <row r="223" spans="1:5" ht="12.75">
      <c r="A223" s="73"/>
      <c r="B223" s="69"/>
      <c r="C223" s="69"/>
      <c r="D223" s="69"/>
      <c r="E223" s="67"/>
    </row>
    <row r="224" spans="1:5" ht="12.75">
      <c r="A224" s="73"/>
      <c r="B224" s="69"/>
      <c r="C224" s="69"/>
      <c r="D224" s="69"/>
      <c r="E224" s="67"/>
    </row>
    <row r="225" spans="1:5" ht="12.75">
      <c r="A225" s="74"/>
      <c r="B225" s="66"/>
      <c r="C225" s="66"/>
      <c r="D225" s="66"/>
      <c r="E225" s="67"/>
    </row>
    <row r="226" spans="1:5" ht="12.75">
      <c r="A226" s="68"/>
      <c r="B226" s="65"/>
      <c r="C226" s="65"/>
      <c r="D226" s="65"/>
      <c r="E226" s="67"/>
    </row>
    <row r="227" spans="1:5" ht="12.75">
      <c r="A227" s="68"/>
      <c r="B227" s="69"/>
      <c r="C227" s="69"/>
      <c r="D227" s="65"/>
      <c r="E227" s="67"/>
    </row>
    <row r="228" spans="1:5" ht="12.75">
      <c r="A228" s="68"/>
      <c r="B228" s="69"/>
      <c r="C228" s="69"/>
      <c r="D228" s="65"/>
      <c r="E228" s="67"/>
    </row>
    <row r="229" spans="1:5" ht="12.75">
      <c r="A229" s="68"/>
      <c r="B229" s="69"/>
      <c r="C229" s="69"/>
      <c r="D229" s="69"/>
      <c r="E229" s="67"/>
    </row>
    <row r="230" spans="1:5" ht="12.75">
      <c r="A230" s="72"/>
      <c r="B230" s="75"/>
      <c r="C230" s="75"/>
      <c r="D230" s="75"/>
      <c r="E230" s="67"/>
    </row>
    <row r="231" spans="1:5" ht="12.75">
      <c r="A231" s="76"/>
      <c r="B231" s="69"/>
      <c r="C231" s="69"/>
      <c r="D231" s="69"/>
      <c r="E231" s="67"/>
    </row>
    <row r="232" spans="1:5" ht="12.75">
      <c r="A232" s="77"/>
      <c r="B232" s="69"/>
      <c r="C232" s="69"/>
      <c r="D232" s="69"/>
      <c r="E232" s="67"/>
    </row>
    <row r="233" spans="1:5" ht="12.75">
      <c r="A233" s="77"/>
      <c r="B233" s="69"/>
      <c r="C233" s="69"/>
      <c r="D233" s="69"/>
      <c r="E233" s="67"/>
    </row>
    <row r="234" spans="1:5" ht="12.75">
      <c r="A234" s="72"/>
      <c r="B234" s="69"/>
      <c r="C234" s="78"/>
      <c r="D234" s="66"/>
      <c r="E234" s="67"/>
    </row>
    <row r="235" spans="1:5" ht="12.75">
      <c r="A235" s="77"/>
      <c r="B235" s="69"/>
      <c r="C235" s="69"/>
      <c r="D235" s="69"/>
      <c r="E235" s="67"/>
    </row>
    <row r="236" spans="1:5" ht="12.75">
      <c r="A236" s="72"/>
      <c r="B236" s="66"/>
      <c r="C236" s="66"/>
      <c r="D236" s="66"/>
      <c r="E236" s="67"/>
    </row>
    <row r="237" spans="1:5" ht="12.75">
      <c r="A237" s="79"/>
      <c r="B237" s="69"/>
      <c r="C237" s="69"/>
      <c r="D237" s="69"/>
      <c r="E237" s="67"/>
    </row>
    <row r="238" spans="1:5" ht="12.75">
      <c r="A238" s="72"/>
      <c r="B238" s="66"/>
      <c r="C238" s="66"/>
      <c r="D238" s="66"/>
      <c r="E238" s="67"/>
    </row>
    <row r="239" spans="1:5" ht="12.75">
      <c r="A239" s="71"/>
      <c r="B239" s="66"/>
      <c r="C239" s="66"/>
      <c r="D239" s="66"/>
      <c r="E239" s="67"/>
    </row>
    <row r="240" spans="1:5" ht="12.75">
      <c r="A240" s="73"/>
      <c r="B240" s="69"/>
      <c r="C240" s="69"/>
      <c r="D240" s="69"/>
      <c r="E240" s="67"/>
    </row>
    <row r="241" spans="1:5" ht="12.75">
      <c r="A241" s="73"/>
      <c r="B241" s="69"/>
      <c r="C241" s="69"/>
      <c r="D241" s="69"/>
      <c r="E241" s="67"/>
    </row>
    <row r="242" spans="1:5" ht="12.75">
      <c r="A242" s="73"/>
      <c r="B242" s="81"/>
      <c r="C242" s="81"/>
      <c r="D242" s="81"/>
      <c r="E242" s="1"/>
    </row>
    <row r="243" spans="1:5" ht="12.75" customHeight="1">
      <c r="A243" s="82"/>
      <c r="B243" s="82"/>
      <c r="C243" s="82"/>
      <c r="D243" s="82"/>
      <c r="E243" s="82"/>
    </row>
    <row r="244" spans="1:5" ht="12.75">
      <c r="A244" s="82"/>
      <c r="B244" s="83"/>
      <c r="C244" s="83"/>
      <c r="D244" s="84"/>
      <c r="E244" s="83"/>
    </row>
    <row r="245" spans="1:5" ht="12.75">
      <c r="A245" s="85"/>
      <c r="B245" s="85"/>
      <c r="C245" s="85"/>
      <c r="D245" s="85"/>
      <c r="E245" s="86"/>
    </row>
    <row r="246" spans="1:5" ht="12.75">
      <c r="A246" s="87"/>
      <c r="B246" s="88"/>
      <c r="C246" s="88"/>
      <c r="D246" s="86"/>
      <c r="E246" s="86"/>
    </row>
    <row r="247" spans="1:5" ht="12.75">
      <c r="A247" s="89"/>
      <c r="B247" s="66"/>
      <c r="C247" s="66"/>
      <c r="D247" s="78"/>
      <c r="E247" s="90"/>
    </row>
    <row r="248" spans="1:5" ht="12.75">
      <c r="A248" s="72"/>
      <c r="B248" s="91"/>
      <c r="C248" s="91"/>
      <c r="D248" s="92"/>
      <c r="E248" s="93"/>
    </row>
    <row r="249" spans="1:5" ht="12.75">
      <c r="A249" s="76"/>
      <c r="B249" s="91"/>
      <c r="C249" s="91"/>
      <c r="D249" s="92"/>
      <c r="E249" s="94"/>
    </row>
    <row r="250" spans="1:5" ht="12.75">
      <c r="A250" s="76"/>
      <c r="B250" s="95"/>
      <c r="C250" s="95"/>
      <c r="D250" s="96"/>
      <c r="E250" s="94"/>
    </row>
    <row r="251" spans="1:5" ht="12.75">
      <c r="A251" s="72"/>
      <c r="B251" s="91"/>
      <c r="C251" s="91"/>
      <c r="D251" s="92"/>
      <c r="E251" s="93"/>
    </row>
    <row r="252" spans="1:5" ht="12.75">
      <c r="A252" s="72"/>
      <c r="B252" s="95"/>
      <c r="C252" s="95"/>
      <c r="D252" s="96"/>
      <c r="E252" s="94"/>
    </row>
    <row r="253" spans="1:5" ht="12.75">
      <c r="A253" s="97"/>
      <c r="B253" s="98"/>
      <c r="C253" s="91"/>
      <c r="D253" s="92"/>
      <c r="E253" s="93"/>
    </row>
    <row r="254" spans="1:4" ht="12.75">
      <c r="A254" s="80"/>
      <c r="B254" s="2"/>
      <c r="C254" s="2"/>
      <c r="D254" s="2"/>
    </row>
    <row r="255" spans="1:4" ht="12.75">
      <c r="A255" s="80"/>
      <c r="B255" s="2"/>
      <c r="C255" s="2"/>
      <c r="D255" s="2"/>
    </row>
    <row r="256" spans="1:4" ht="12.75">
      <c r="A256" s="80"/>
      <c r="B256" s="2"/>
      <c r="C256" s="2"/>
      <c r="D256" s="2"/>
    </row>
    <row r="257" spans="1:4" ht="12.75">
      <c r="A257" s="80"/>
      <c r="B257" s="2"/>
      <c r="C257" s="2"/>
      <c r="D257" s="2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Merike Kontkar</dc:creator>
  <cp:keywords/>
  <dc:description/>
  <cp:lastModifiedBy>Tiina Ligi</cp:lastModifiedBy>
  <cp:lastPrinted>2010-02-03T09:16:24Z</cp:lastPrinted>
  <dcterms:created xsi:type="dcterms:W3CDTF">2010-02-01T09:12:34Z</dcterms:created>
  <dcterms:modified xsi:type="dcterms:W3CDTF">2010-02-03T09:41:25Z</dcterms:modified>
  <cp:category/>
  <cp:version/>
  <cp:contentType/>
  <cp:contentStatus/>
</cp:coreProperties>
</file>