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28575" windowHeight="11955" activeTab="0"/>
  </bookViews>
  <sheets>
    <sheet name="eelarve täitmine" sheetId="1" r:id="rId1"/>
    <sheet name="investeeringud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kerstis</author>
  </authors>
  <commentList>
    <comment ref="C42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4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5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</commentList>
</comments>
</file>

<file path=xl/comments2.xml><?xml version="1.0" encoding="utf-8"?>
<comments xmlns="http://schemas.openxmlformats.org/spreadsheetml/2006/main">
  <authors>
    <author>merke</author>
  </authors>
  <commentList>
    <comment ref="G36" authorId="0">
      <text>
        <r>
          <rPr>
            <b/>
            <sz val="8"/>
            <rFont val="Tahoma"/>
            <family val="0"/>
          </rPr>
          <t>merke:</t>
        </r>
        <r>
          <rPr>
            <sz val="8"/>
            <rFont val="Tahoma"/>
            <family val="0"/>
          </rPr>
          <t xml:space="preserve">
 projekit Urban Creative Poles (loomeettevõtluse arendamine)</t>
        </r>
      </text>
    </comment>
    <comment ref="G37" authorId="0">
      <text>
        <r>
          <rPr>
            <b/>
            <sz val="8"/>
            <rFont val="Tahoma"/>
            <family val="0"/>
          </rPr>
          <t>merke:</t>
        </r>
        <r>
          <rPr>
            <sz val="8"/>
            <rFont val="Tahoma"/>
            <family val="0"/>
          </rPr>
          <t xml:space="preserve">
projekt Urban creative poles (loomeettevõtluse arendamine)</t>
        </r>
      </text>
    </comment>
    <comment ref="E49" authorId="0">
      <text>
        <r>
          <rPr>
            <b/>
            <sz val="8"/>
            <rFont val="Tahoma"/>
            <family val="2"/>
          </rPr>
          <t>merke:</t>
        </r>
        <r>
          <rPr>
            <sz val="8"/>
            <rFont val="Tahoma"/>
            <family val="2"/>
          </rPr>
          <t xml:space="preserve">
sh k/m 49979+46837</t>
        </r>
      </text>
    </comment>
    <comment ref="F49" authorId="0">
      <text>
        <r>
          <rPr>
            <b/>
            <sz val="8"/>
            <rFont val="Tahoma"/>
            <family val="2"/>
          </rPr>
          <t>merke:</t>
        </r>
        <r>
          <rPr>
            <sz val="8"/>
            <rFont val="Tahoma"/>
            <family val="2"/>
          </rPr>
          <t xml:space="preserve">
sh k/m 49979+46837</t>
        </r>
      </text>
    </comment>
    <comment ref="F59" authorId="0">
      <text>
        <r>
          <rPr>
            <b/>
            <sz val="8"/>
            <rFont val="Tahoma"/>
            <family val="0"/>
          </rPr>
          <t>merke:</t>
        </r>
        <r>
          <rPr>
            <sz val="8"/>
            <rFont val="Tahoma"/>
            <family val="0"/>
          </rPr>
          <t xml:space="preserve">
sh omatulu 5500 €</t>
        </r>
      </text>
    </comment>
    <comment ref="G59" authorId="0">
      <text>
        <r>
          <rPr>
            <b/>
            <sz val="8"/>
            <rFont val="Tahoma"/>
            <family val="0"/>
          </rPr>
          <t>merke:</t>
        </r>
        <r>
          <rPr>
            <sz val="8"/>
            <rFont val="Tahoma"/>
            <family val="0"/>
          </rPr>
          <t xml:space="preserve">
sh omatuludest 5500 €</t>
        </r>
      </text>
    </comment>
    <comment ref="F141" authorId="0">
      <text>
        <r>
          <rPr>
            <b/>
            <sz val="8"/>
            <rFont val="Tahoma"/>
            <family val="0"/>
          </rPr>
          <t>merke:</t>
        </r>
        <r>
          <rPr>
            <sz val="8"/>
            <rFont val="Tahoma"/>
            <family val="0"/>
          </rPr>
          <t xml:space="preserve">
sh  Riia tn  120-132 avatud bussitasku ehitus </t>
        </r>
      </text>
    </comment>
    <comment ref="C278" authorId="0">
      <text>
        <r>
          <rPr>
            <b/>
            <sz val="8"/>
            <rFont val="Tahoma"/>
            <family val="0"/>
          </rPr>
          <t>merke:</t>
        </r>
        <r>
          <rPr>
            <sz val="8"/>
            <rFont val="Tahoma"/>
            <family val="0"/>
          </rPr>
          <t xml:space="preserve">
5 autot Sots.osak.</t>
        </r>
      </text>
    </comment>
    <comment ref="C284" authorId="0">
      <text>
        <r>
          <rPr>
            <b/>
            <sz val="8"/>
            <rFont val="Tahoma"/>
            <family val="0"/>
          </rPr>
          <t>merke:</t>
        </r>
        <r>
          <rPr>
            <sz val="8"/>
            <rFont val="Tahoma"/>
            <family val="0"/>
          </rPr>
          <t xml:space="preserve">
5 autot SA TÜ Kliinikum, 
1 auto SA Vaimse Tervise Hooldekeskus </t>
        </r>
      </text>
    </comment>
  </commentList>
</comments>
</file>

<file path=xl/sharedStrings.xml><?xml version="1.0" encoding="utf-8"?>
<sst xmlns="http://schemas.openxmlformats.org/spreadsheetml/2006/main" count="639" uniqueCount="395">
  <si>
    <t>Eelarve täitmise aruanne</t>
  </si>
  <si>
    <t>Tartu Linnavalitsus</t>
  </si>
  <si>
    <t>seisuga:</t>
  </si>
  <si>
    <t xml:space="preserve">Eelarve </t>
  </si>
  <si>
    <t>Täitmine</t>
  </si>
  <si>
    <t>%</t>
  </si>
  <si>
    <t>Klassifikaator</t>
  </si>
  <si>
    <t>Kirje nimetus</t>
  </si>
  <si>
    <t>kasv €</t>
  </si>
  <si>
    <t>kasvu %</t>
  </si>
  <si>
    <t>PÕHITEGEVUSE TULUD KOKKU</t>
  </si>
  <si>
    <t>Maksutulud</t>
  </si>
  <si>
    <t>Füüsilise isiku tulumaks</t>
  </si>
  <si>
    <t>Maamaks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</si>
  <si>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</si>
  <si>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</si>
  <si>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</si>
  <si>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</si>
  <si>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</si>
  <si>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</si>
  <si>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</si>
  <si>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</si>
  <si>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</si>
  <si>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</si>
  <si>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3500, 352.01.. .8</t>
  </si>
  <si>
    <t>Muud saadud toetused tegevuskuludeks</t>
  </si>
  <si>
    <t>3825, 388</t>
  </si>
  <si>
    <t xml:space="preserve">Muud tegevustulud </t>
  </si>
  <si>
    <t>382500, 38252</t>
  </si>
  <si>
    <t>Kaevandamisõiguse tasu</t>
  </si>
  <si>
    <t>Laekumine vee erikasutusest</t>
  </si>
  <si>
    <t>Saastetasud ja keskkonnale tekitatud kahju hüvitis</t>
  </si>
  <si>
    <t>3880, 3888</t>
  </si>
  <si>
    <t xml:space="preserve">Muud eelpool nimetamata muud tegevustulud </t>
  </si>
  <si>
    <t>PÕHITEGEVUSE KULUD KOKKU</t>
  </si>
  <si>
    <t>40, 41, 4500, 452</t>
  </si>
  <si>
    <t>Antavad toetused tegevuskuludeks</t>
  </si>
  <si>
    <t>Muud tegevuskulud</t>
  </si>
  <si>
    <t>Personalikulud</t>
  </si>
  <si>
    <t>s h töötasud</t>
  </si>
  <si>
    <t>Majandamiskulud</t>
  </si>
  <si>
    <t>Muud kulud</t>
  </si>
  <si>
    <t>PÕHITEGEVUSE TULEM</t>
  </si>
  <si>
    <t>INVESTEERIMISTEGEVUS KOKKU</t>
  </si>
  <si>
    <t>sh investeerimistegevuse tulud (+)</t>
  </si>
  <si>
    <t>sh investeerimistegevuse kulud  (-)</t>
  </si>
  <si>
    <t>Põhivara müük (+)</t>
  </si>
  <si>
    <t>s h  maa müük</t>
  </si>
  <si>
    <t xml:space="preserve">       rajatiste ja hoonete müük</t>
  </si>
  <si>
    <t>Põhivara soetus (-)</t>
  </si>
  <si>
    <t>s h  maa soetamine</t>
  </si>
  <si>
    <t xml:space="preserve">       rajatiste ja hoonete soetamine ja renoveerimine</t>
  </si>
  <si>
    <t xml:space="preserve">       masinate ja seadmete,sh.trp.vahendite soetamine ja renoveerimine</t>
  </si>
  <si>
    <t xml:space="preserve">Põhivara soetuseks saadav sihtfinantseerimine(+) </t>
  </si>
  <si>
    <t>Põhivara soetuseks antav sihtfinantseerimine(-)</t>
  </si>
  <si>
    <t>101.2.1</t>
  </si>
  <si>
    <t>Osaluste müük (+)</t>
  </si>
  <si>
    <t>101.1.1</t>
  </si>
  <si>
    <t>Osaluste soetus (-)</t>
  </si>
  <si>
    <t>101.2.2</t>
  </si>
  <si>
    <t>Muude aktsiate ja osade müük (+)</t>
  </si>
  <si>
    <t>101.1.2</t>
  </si>
  <si>
    <t>Muude aktsiate ja osade soetus (-)</t>
  </si>
  <si>
    <t>1032.2</t>
  </si>
  <si>
    <t>Tagasilaekuvad laenud (+)</t>
  </si>
  <si>
    <t>1032.1</t>
  </si>
  <si>
    <t>Antavad laenud (-)</t>
  </si>
  <si>
    <t>Finantstulud (+)</t>
  </si>
  <si>
    <t>Finantskulud (-)</t>
  </si>
  <si>
    <t>EELARVE TULEM (ÜLEJÄÄK (+) / PUUDUJÄÄK (-))</t>
  </si>
  <si>
    <t>FINANTSEERIMISTEGEVUS</t>
  </si>
  <si>
    <t>20.5</t>
  </si>
  <si>
    <t>Kohustuste võtmine (+)</t>
  </si>
  <si>
    <t>2080.5</t>
  </si>
  <si>
    <t>s h  võlakirjade emiteerimine</t>
  </si>
  <si>
    <t>2081.5</t>
  </si>
  <si>
    <t xml:space="preserve">       laenud</t>
  </si>
  <si>
    <t>2082.5</t>
  </si>
  <si>
    <t xml:space="preserve">       kapitalirent </t>
  </si>
  <si>
    <t>20.6</t>
  </si>
  <si>
    <t>Kohustuste tasumine (-)</t>
  </si>
  <si>
    <t>2080.6</t>
  </si>
  <si>
    <t>2081.6</t>
  </si>
  <si>
    <t>2082.6</t>
  </si>
  <si>
    <t>LIKVIIDSETE VARADE MUUTUS (+ suurenemine, - vähenemine)</t>
  </si>
  <si>
    <t>Põhitegevuse kulud TEGEVUSALATI</t>
  </si>
  <si>
    <t>01</t>
  </si>
  <si>
    <t>Üldised valitsussektori teenused</t>
  </si>
  <si>
    <t>03</t>
  </si>
  <si>
    <t>Avalik kord ja julgeolek</t>
  </si>
  <si>
    <t>04</t>
  </si>
  <si>
    <t>Majandus</t>
  </si>
  <si>
    <t>05</t>
  </si>
  <si>
    <t>Keskkonnakaitse</t>
  </si>
  <si>
    <t>06</t>
  </si>
  <si>
    <t>Elamu- ja kommunaalmajandus</t>
  </si>
  <si>
    <t>07</t>
  </si>
  <si>
    <t>Tervishoid</t>
  </si>
  <si>
    <t>08</t>
  </si>
  <si>
    <t>Vabaaeg, kultuur ja religioon</t>
  </si>
  <si>
    <t>09</t>
  </si>
  <si>
    <t>Haridus</t>
  </si>
  <si>
    <t>10</t>
  </si>
  <si>
    <t>Sotsiaalne kaitse</t>
  </si>
  <si>
    <t>Investeerimistegevuse kulud TEGEVUSALATI</t>
  </si>
  <si>
    <t>x</t>
  </si>
  <si>
    <t>Tartu linna 2012.a eelarve investeerimis- ja finantseerimistegevuse kulud</t>
  </si>
  <si>
    <t xml:space="preserve">täitmine seisuga 31.12.2012 </t>
  </si>
  <si>
    <t>eurodes</t>
  </si>
  <si>
    <t>Kinnitatud
eelarve</t>
  </si>
  <si>
    <t>Täpsustatud
eelarve</t>
  </si>
  <si>
    <t>Täitm.aasta
algusest</t>
  </si>
  <si>
    <t>sh detsember</t>
  </si>
  <si>
    <t>Täitm.
%</t>
  </si>
  <si>
    <t>INVESTEERIMIS-JA FINANTSEERIMISTEGEVUS KOKKU</t>
  </si>
  <si>
    <t>Investeerimistegevus</t>
  </si>
  <si>
    <t xml:space="preserve">                        sh  CO2 vahendite arvelt</t>
  </si>
  <si>
    <t>PVS</t>
  </si>
  <si>
    <t>Elamu-ja kommunaalmajandus</t>
  </si>
  <si>
    <t>Vabaaeg ja kultuur</t>
  </si>
  <si>
    <t>Finantseerimistehingud</t>
  </si>
  <si>
    <t xml:space="preserve">Investeerimistegevuse kulud kuluklassifikaatori lõikes </t>
  </si>
  <si>
    <t>põhivara soetus</t>
  </si>
  <si>
    <r>
      <t xml:space="preserve">    </t>
    </r>
    <r>
      <rPr>
        <i/>
        <sz val="8"/>
        <rFont val="Arial"/>
        <family val="2"/>
      </rPr>
      <t xml:space="preserve">sh   soetused  toetustest kokku  </t>
    </r>
  </si>
  <si>
    <t>põhivara soetuseks antav sihtfinantseerimine</t>
  </si>
  <si>
    <t>ASF</t>
  </si>
  <si>
    <t>finantskulud</t>
  </si>
  <si>
    <t>FK</t>
  </si>
  <si>
    <t>Investeerimistegevuse kulud kasutajate, objektide ja finantseerimisallikate lõikes</t>
  </si>
  <si>
    <t>detsember</t>
  </si>
  <si>
    <t>LINNAKANTSELEI</t>
  </si>
  <si>
    <t>3.2</t>
  </si>
  <si>
    <t>3.2.1.1</t>
  </si>
  <si>
    <t>Infotehnoloogia soetus</t>
  </si>
  <si>
    <t xml:space="preserve">   Muu vaba aeg ja kultuur</t>
  </si>
  <si>
    <t>PR</t>
  </si>
  <si>
    <t>Loomemajanduse keskus (Kalevi  13) katuse renoveerimine</t>
  </si>
  <si>
    <t>Loomemajanduse keskus seminariruumi mööbel</t>
  </si>
  <si>
    <t>ARHITEKTUURI JA EHITUSE OSAKOND</t>
  </si>
  <si>
    <t xml:space="preserve">    Muinsuskaitse</t>
  </si>
  <si>
    <t xml:space="preserve">Restaureerimistoetused </t>
  </si>
  <si>
    <t>ETTEVÕTLUSE OSAKOND</t>
  </si>
  <si>
    <t xml:space="preserve">   Üldmajanduslikud arendusprojektid</t>
  </si>
  <si>
    <t>SA Tartu Teaduspark  taristu arendamise kaasfinantseerimine</t>
  </si>
  <si>
    <t>HARIDUSOSAKOND</t>
  </si>
  <si>
    <t>3.6</t>
  </si>
  <si>
    <t xml:space="preserve">   Valitsussektori võla teenindamine</t>
  </si>
  <si>
    <t xml:space="preserve">Riigi Kinnisvara ASle (H.Masingu Kool, J.Poska Gümnaasium) intressid, käibemaks </t>
  </si>
  <si>
    <t xml:space="preserve">Maarja Kooli bussi kapitaliliisingu intressid </t>
  </si>
  <si>
    <t>HARIDUS</t>
  </si>
  <si>
    <t xml:space="preserve">   Lasteaiad</t>
  </si>
  <si>
    <t>3.6.3.1</t>
  </si>
  <si>
    <t>Eralasteaedade toetus</t>
  </si>
  <si>
    <t xml:space="preserve">   Kutseõppeasutused</t>
  </si>
  <si>
    <t>Kutsehariduskeskus (Põllu 11) autoeriala õppetöökoja rajamine ja sisustus</t>
  </si>
  <si>
    <t>Kutsehariduskeskuse (Põllu 11) ventilatsioonitööd ning õppebaasi inventar</t>
  </si>
  <si>
    <t>OT</t>
  </si>
  <si>
    <t>Kutsehariduskeskus</t>
  </si>
  <si>
    <t xml:space="preserve">   Erivajadustega laste koolid</t>
  </si>
  <si>
    <t>Maarja Kooli bussi soetus</t>
  </si>
  <si>
    <t>KULTUURIOSAKOND</t>
  </si>
  <si>
    <t>Vabaaeg</t>
  </si>
  <si>
    <t xml:space="preserve">   Puhkepargid</t>
  </si>
  <si>
    <t>SA Tähtvere Puhkepark (Laulupeo pst 25)  skatepargi arendus</t>
  </si>
  <si>
    <t>SA Tähtvere Puhkepark (Laulupeo pst 25) dendropark</t>
  </si>
  <si>
    <t>SA Tähtvere Puhkepark (Laulupeo pst 25) laululava maaaluste tualettide remonttöödeks</t>
  </si>
  <si>
    <t xml:space="preserve">   Spordibaasid</t>
  </si>
  <si>
    <t xml:space="preserve">SA Tartu Sport Tamme staadioni spordisaali sisustus </t>
  </si>
  <si>
    <t xml:space="preserve">   Vaba aja üritused</t>
  </si>
  <si>
    <t>Spordiklubi Triiton sulgpalli väljakukatte soetus</t>
  </si>
  <si>
    <t xml:space="preserve">   Raamatukogud</t>
  </si>
  <si>
    <t>O.Lutsu nim.Linnaraamatukogu (Kompanii 3/5) serverite soetus</t>
  </si>
  <si>
    <t xml:space="preserve">   Muuseumid</t>
  </si>
  <si>
    <t>Linnamuuseum (Narva mnt 23)  tulekustutussüsteemi uuendamine, 
veefiltrite vahetus</t>
  </si>
  <si>
    <t>LINNAMAJANDUSE OSAKOND</t>
  </si>
  <si>
    <t>3.8</t>
  </si>
  <si>
    <t>Kahe ametauto väljaost</t>
  </si>
  <si>
    <t>3.8.3</t>
  </si>
  <si>
    <t xml:space="preserve"> Linna teed, tänavad ja sillad</t>
  </si>
  <si>
    <t>3.8.3.1</t>
  </si>
  <si>
    <t>Tänavate rekonstrueerimine, ehitus</t>
  </si>
  <si>
    <t>Tartu idapoolse ringtee projekteerimine ja ehitus</t>
  </si>
  <si>
    <t>Maa ostmine idapoolse ringtee tarvis</t>
  </si>
  <si>
    <t>Maa ostu korralduskulud (riigilõiv, notaritasu)</t>
  </si>
  <si>
    <t xml:space="preserve">Emajõe kaldakindlustuse rekonstrueerimine ja jõeäärsete teede korrastamine </t>
  </si>
  <si>
    <t>Filosoofi tn remondi järelmaks</t>
  </si>
  <si>
    <t>Turu 49 (keskkonnajaam) juurdepääsutee järelmaks</t>
  </si>
  <si>
    <t>Nõlvaku (Mõisavahe-Räpina mnt)</t>
  </si>
  <si>
    <t>Sõpruse silla rekonstrueerimise projekt</t>
  </si>
  <si>
    <t>Võidu silla rekonstrueerimise projekt</t>
  </si>
  <si>
    <t>Kalda-Lammi -Mõisavahe ristmik</t>
  </si>
  <si>
    <t>Kruusakattega tänavate asfalteerimine</t>
  </si>
  <si>
    <t xml:space="preserve">Roosi </t>
  </si>
  <si>
    <t>Linnu</t>
  </si>
  <si>
    <t>Maarjaturg</t>
  </si>
  <si>
    <t>Oa</t>
  </si>
  <si>
    <t>Vaba</t>
  </si>
  <si>
    <t>Vase</t>
  </si>
  <si>
    <t>Tempera</t>
  </si>
  <si>
    <t>Arukase</t>
  </si>
  <si>
    <t>Tänavate ülekatted ja pindamised</t>
  </si>
  <si>
    <t>Kalda tee (Kaunase pst-Lammi)</t>
  </si>
  <si>
    <t>Jaama (Rõõmu tee-Kaunase pst)</t>
  </si>
  <si>
    <t>Sõpruse pst</t>
  </si>
  <si>
    <t xml:space="preserve">Kesk </t>
  </si>
  <si>
    <t>Jaama (Paju-Raatuse)</t>
  </si>
  <si>
    <t xml:space="preserve">Ihaste tee </t>
  </si>
  <si>
    <t>Puiestee (Narva mnt-Lubja)</t>
  </si>
  <si>
    <t xml:space="preserve">FR.R.Kreutzwaldi </t>
  </si>
  <si>
    <t>Ilmatsalu (Ravila-Betooni)</t>
  </si>
  <si>
    <t>Betooni (Ilmatsalu-Ravila)</t>
  </si>
  <si>
    <t>Tähe (Vaba-Tehase)</t>
  </si>
  <si>
    <t>Tähe (Aardla-Sepa)</t>
  </si>
  <si>
    <t>Raudtee (Kabeli-Aardla)</t>
  </si>
  <si>
    <t>Kastani (Võru-Riia)</t>
  </si>
  <si>
    <t xml:space="preserve">Tõnissoni </t>
  </si>
  <si>
    <t>Tuglase (laululava-parkla)</t>
  </si>
  <si>
    <r>
      <rPr>
        <b/>
        <sz val="8"/>
        <rFont val="Arial"/>
        <family val="2"/>
      </rPr>
      <t>Sillad</t>
    </r>
    <r>
      <rPr>
        <sz val="8"/>
        <rFont val="Arial"/>
        <family val="2"/>
      </rPr>
      <t xml:space="preserve"> (Inglisilla remont ja restaureerimine)</t>
    </r>
  </si>
  <si>
    <t xml:space="preserve">Kõnniteed </t>
  </si>
  <si>
    <t>Dorpati hotelli esine jalgrattatee</t>
  </si>
  <si>
    <t>Pikk tn (Anne kanal)</t>
  </si>
  <si>
    <t>Turu silla juurdepääs (Soola)</t>
  </si>
  <si>
    <t>Akadeemia</t>
  </si>
  <si>
    <t>Riia 9/10</t>
  </si>
  <si>
    <t>Vabaduse 8</t>
  </si>
  <si>
    <t>Turu tn (erinevad lõigud</t>
  </si>
  <si>
    <t>Emajõe kaldaäär paremkallas (Vabaduse puiestik)</t>
  </si>
  <si>
    <t>Ülikooli (Vallikraavi-Lossi)</t>
  </si>
  <si>
    <t>Sademevee liitumistasu</t>
  </si>
  <si>
    <t>Tänavate renoveerimine</t>
  </si>
  <si>
    <t>Koostöö võrguarendajatega</t>
  </si>
  <si>
    <t xml:space="preserve"> Infrastruktuuri arenduste kompensatsioonid</t>
  </si>
  <si>
    <t>Kvissentali elamurajoon</t>
  </si>
  <si>
    <t>Oksa ja Ladva tänavad</t>
  </si>
  <si>
    <t>Ropka Tööstuspark</t>
  </si>
  <si>
    <t>Lõunakeskuse teed</t>
  </si>
  <si>
    <t>Liikluskorraldus</t>
  </si>
  <si>
    <t>Turu-Sepa ristmiku projekteerimine</t>
  </si>
  <si>
    <t>Narva mnt-Roosi  tn ülekäiguraja ehitus</t>
  </si>
  <si>
    <t xml:space="preserve">Osalemine projektis  Traffic </t>
  </si>
  <si>
    <t>Transpordikorraldus</t>
  </si>
  <si>
    <t>3.8.3.3</t>
  </si>
  <si>
    <t xml:space="preserve">Tartu linna ühistransporti toetavate süsteemide kaasajastamine </t>
  </si>
  <si>
    <t>3.8.4</t>
  </si>
  <si>
    <t xml:space="preserve">   Haljastus</t>
  </si>
  <si>
    <t>3.8.4.5</t>
  </si>
  <si>
    <t>Mänguväljaku rajamine</t>
  </si>
  <si>
    <t>Ropka mänguväljak</t>
  </si>
  <si>
    <t>Osalemine projektis  GreenMan</t>
  </si>
  <si>
    <t>Elamu ja kommunaalmajandus</t>
  </si>
  <si>
    <t>3.8.5</t>
  </si>
  <si>
    <t xml:space="preserve">   Tänavavalgustus</t>
  </si>
  <si>
    <t>3.8.5.2</t>
  </si>
  <si>
    <t xml:space="preserve">Õhuliinide rekonstrueerimise  ühisprojektid ASiga Eesti Energia </t>
  </si>
  <si>
    <t>Telemeetriaseadmete vahetus</t>
  </si>
  <si>
    <t>Ohtlike tänavavalgustusmastide vahetus</t>
  </si>
  <si>
    <t>Raja tänava  pargi, Riia ja Põldmarja tänava valgustuskilbist  toiteliinide ehitus</t>
  </si>
  <si>
    <t>Kaarsilla valgustuse remont</t>
  </si>
  <si>
    <t>Pimedate tänavate valgustamine</t>
  </si>
  <si>
    <t xml:space="preserve">Kalmistud </t>
  </si>
  <si>
    <t>3.8.5.3</t>
  </si>
  <si>
    <t>Maasturi väljaost</t>
  </si>
  <si>
    <t>Kalmistu 22 hoone katuse remont</t>
  </si>
  <si>
    <t>LINNAPLANEERIMISE JA MAAKORRALDUSE OSAKOND</t>
  </si>
  <si>
    <t>3.9</t>
  </si>
  <si>
    <t xml:space="preserve">Majandus </t>
  </si>
  <si>
    <t>3.9.2</t>
  </si>
  <si>
    <r>
      <t xml:space="preserve">   Maakorraldus </t>
    </r>
    <r>
      <rPr>
        <sz val="8"/>
        <rFont val="Arial"/>
        <family val="2"/>
      </rPr>
      <t xml:space="preserve">(linna arenguks maa ost) </t>
    </r>
  </si>
  <si>
    <t>3.9.2.1</t>
  </si>
  <si>
    <t>LINNAVARADE OSAKOND</t>
  </si>
  <si>
    <t>3.10</t>
  </si>
  <si>
    <t>Sõiduauto intressid</t>
  </si>
  <si>
    <t>3.10.2</t>
  </si>
  <si>
    <t xml:space="preserve">   Veetransport</t>
  </si>
  <si>
    <t>Sõpruse silla paadisadama ehituse projekteerimine</t>
  </si>
  <si>
    <t xml:space="preserve">   Raudteetransport</t>
  </si>
  <si>
    <t>Tartu vaksalihoone reisijate ootesaali ehitustööde tasumise toetus</t>
  </si>
  <si>
    <t xml:space="preserve">   Muu majandus</t>
  </si>
  <si>
    <t>3.10.2.2</t>
  </si>
  <si>
    <t xml:space="preserve">Mitteeluruumide (linna üüripindade)  remonttööd </t>
  </si>
  <si>
    <t>Ettekirjutiste täitmiseks linna hoonetele (v.a.haridusasutused)</t>
  </si>
  <si>
    <t>Küüni 2 (kompensats.hoone fassaadi remondiks)</t>
  </si>
  <si>
    <t>Elektriautode laadimispunktide ehitus</t>
  </si>
  <si>
    <t>Vabanenud rendipindade kohandamine bürooruumideks</t>
  </si>
  <si>
    <t>Raekoja plats 12 III-IV korruse ruumide remont</t>
  </si>
  <si>
    <t>3.10.3</t>
  </si>
  <si>
    <t xml:space="preserve">   Elamumajanduse arendamine</t>
  </si>
  <si>
    <t>3.10.3.1</t>
  </si>
  <si>
    <t xml:space="preserve">Linnale kuuluvate korterite remont </t>
  </si>
  <si>
    <t xml:space="preserve">Linnale kuuluvate elamute remont </t>
  </si>
  <si>
    <t>Vabaaeg, kultuur</t>
  </si>
  <si>
    <t>3.10.4</t>
  </si>
  <si>
    <t>3.10.4.1</t>
  </si>
  <si>
    <t>Tamme staadioni olmehoone rekonstrueerimine ja mänguväljaku ehitus</t>
  </si>
  <si>
    <t>Tamme staadioni kohvikuterassi renoveerimine</t>
  </si>
  <si>
    <t>CO2</t>
  </si>
  <si>
    <t>Turu tn spordihoone katuse soojustamine 2011.a tööde lõpetamine</t>
  </si>
  <si>
    <t>Teaduskeskus AHHAA ehituse laenude tasumise toetamine</t>
  </si>
  <si>
    <t xml:space="preserve">   Laste muusika-ja kunstikoolid</t>
  </si>
  <si>
    <t>Keskkonnahariduskeskuse (Lille 10) projekteerimine</t>
  </si>
  <si>
    <t xml:space="preserve">   Laste huvialamajad ja keskused</t>
  </si>
  <si>
    <t>3.10.4.3</t>
  </si>
  <si>
    <t>Anne Noortekeskuse uue hoone projekteerimine</t>
  </si>
  <si>
    <t xml:space="preserve">Lille Maja ja Anne Noortekeskuse elektrisüsteemide rekonstrueerimine </t>
  </si>
  <si>
    <t xml:space="preserve">   Muinsuskaitse</t>
  </si>
  <si>
    <t>SA Tartu Pauluse Kirik renoveerimise toetamine</t>
  </si>
  <si>
    <t>Tartu Maarja Kiriku SA  projekteerimine</t>
  </si>
  <si>
    <t>3.10.4.7</t>
  </si>
  <si>
    <t xml:space="preserve">Loomemajanduse keskus (Kalevi  15,17) hoonete rekonstrueerimine </t>
  </si>
  <si>
    <t>3.10.5</t>
  </si>
  <si>
    <t>Investeringud heitkoguse ühiku müügi vahenditest, sh</t>
  </si>
  <si>
    <t>1. LA Tõruke fassaadi soojustamine, katusekatte vahetus ja küttesüsteem</t>
  </si>
  <si>
    <t>2. LA Sass fassaadi soojustamine</t>
  </si>
  <si>
    <t>3. LA Helika fassaadi soojustamine, küttesüsteemi rekonstrueerimine</t>
  </si>
  <si>
    <t xml:space="preserve">4. LA Annike fassaadi soojustamine, küttesüsteemi rekonstrueerimine, katuse rekonstrueerimine
  </t>
  </si>
  <si>
    <t>5. LA Kivike fassaadi soojustamine, küttesüsteemi rekonstrueerimine</t>
  </si>
  <si>
    <t>6. LA Krõll fassaadi ja katuse  soojustamine, küttesüsteemi rekonstrueerimine</t>
  </si>
  <si>
    <t>3.10.5.1</t>
  </si>
  <si>
    <t>Täiendavate rühmade rajamine</t>
  </si>
  <si>
    <t>Ventilatsioonisüsteemide korrastamine</t>
  </si>
  <si>
    <t>LA Meelespea (Ilmatsalu 46) lisarühmade mänguväljaku atraktsioonid</t>
  </si>
  <si>
    <t>LA Ristikhein (sadeveetorustikud)</t>
  </si>
  <si>
    <t>LA Krõll (sõimerühma põranda vahetus, rõivistu remont)</t>
  </si>
  <si>
    <t xml:space="preserve">   Põhikoolid</t>
  </si>
  <si>
    <t xml:space="preserve">Kesklinna Kool (Kroonuaia 7) sadevete kanalisatsioni pumpla ehitus </t>
  </si>
  <si>
    <t>Kesklinna Kool (Kroonuaia 7) sokli hüdroisolatsioon ja soojustamine 
2011.a. tööde lõpetamine</t>
  </si>
  <si>
    <t xml:space="preserve">M.Reiniku Kool (Vanemuise 48) vahelagede renoveerimine </t>
  </si>
  <si>
    <t xml:space="preserve">M.Reiniku Kool (Riia 25) ümberehitus koos sisustamisega </t>
  </si>
  <si>
    <t xml:space="preserve">    Gümnaasiumid</t>
  </si>
  <si>
    <t xml:space="preserve">Forseliuse Gümnaasium (Tähe 103) koridoride remont </t>
  </si>
  <si>
    <t>Investeringud heitkoguse ühiku müügi vahenditest sh</t>
  </si>
  <si>
    <t>1. Kivilinna Gümnaasium fassaadi ja katuse soojustamine ja küttesüsteem</t>
  </si>
  <si>
    <t xml:space="preserve">2. Karlova Gümnaasium B-korpuse soojustamine ja A-korpuse katusealuse 
soojustamine </t>
  </si>
  <si>
    <t>3. Tamme Gümnaasium fassaadi ja katuse soojustamine</t>
  </si>
  <si>
    <t xml:space="preserve">4. M.Reiniku Koo fassaadi ja katuse soojustamine, kütte-ja ventilatsioonisüsteem,  </t>
  </si>
  <si>
    <t>5. Forseliuse Gümnaasium küttesüsteem 2011 alustatud tööde lõpetamine</t>
  </si>
  <si>
    <t xml:space="preserve">6. Vene Lütseum fassaadi ja katuse soojustamine, küttesüsteemi osaline
rekonstrueerimine </t>
  </si>
  <si>
    <t>Vene Lütseum (Uus 54) köögiruumid ja A korpuse I k tualettruumid</t>
  </si>
  <si>
    <t>Descartes´i Lütseum (Anne 66) katuse remont</t>
  </si>
  <si>
    <t>Annelinna Gümnaasium (Kaunase pst 68) elektripaigaldus, tualettruumid</t>
  </si>
  <si>
    <t xml:space="preserve">   Täiskasvanute gümnaasiumid</t>
  </si>
  <si>
    <t xml:space="preserve">Tartu Täiskasvanute Gümnaasiumi   (Nooruse 9) </t>
  </si>
  <si>
    <t xml:space="preserve">Kutsehariduskeskus (Põllu 11a) parkla, välisvagustus </t>
  </si>
  <si>
    <t>Kutsehariduskeskus heitkoguse ühiku müügi vahenditest sh</t>
  </si>
  <si>
    <t xml:space="preserve">1. KHK Kopli 1a katuse soojustamine ja katmine 2011alustatud tööde 
lõpetamine </t>
  </si>
  <si>
    <t>2. KHK Põllu 11a katuse soojustamine ja katmine, küttesüsteem</t>
  </si>
  <si>
    <t>3. KHK Põllu 11b katuse soojustamine ja katmine, küttesüsteem 2011 alustatud  tööde lõpetamine</t>
  </si>
  <si>
    <t xml:space="preserve">4. KHK Põllu 11c fassaadi soojustamine, katusekatte vahetus, ventilatsioonisüsteem </t>
  </si>
  <si>
    <t xml:space="preserve">   Muu haridus </t>
  </si>
  <si>
    <t>3.10.5.4</t>
  </si>
  <si>
    <t>Haridusobjektide projekteerimine</t>
  </si>
  <si>
    <t>Ettekirjutiste täitmiseks haridusasutustele</t>
  </si>
  <si>
    <t xml:space="preserve"> Omaosalus heitkoguse ühikute müügi vahenditele</t>
  </si>
  <si>
    <t>Investeeringud heitkoguse ühikute müügi vahenditest</t>
  </si>
  <si>
    <t xml:space="preserve">   Muu sotsiaalsete riskirühmade kaitse</t>
  </si>
  <si>
    <t>Anne Sauna renoveerimise projekti kaasfinantseerimine</t>
  </si>
  <si>
    <t xml:space="preserve">   Muu laste hoolekande asutused</t>
  </si>
  <si>
    <t xml:space="preserve">Laste Turvakodu (Tiigi 55) õueala rekonstrueerimise projekti omaosalus, vundamendi hüdroisolatsioon koos soojustamisega </t>
  </si>
  <si>
    <t>Laste Turvakodu (Tiigi 55) õueala rekonstrueerimine</t>
  </si>
  <si>
    <t>Laste Turvakodu (Tiigi 55) heitkoguse ühiku müügist 2011 alustatud küttesüsteemi rekonstrueerimise 
tööde lõpetamine</t>
  </si>
  <si>
    <t xml:space="preserve">   Riskirühmade sotsiaalhoolekande asutused</t>
  </si>
  <si>
    <t xml:space="preserve">   Varjupaiga (Lubja 7) renoveerimine</t>
  </si>
  <si>
    <t>RAHANDUSOSAKOND</t>
  </si>
  <si>
    <t xml:space="preserve">   Valitsussektori võla teenindamine </t>
  </si>
  <si>
    <t>Laenude intressid</t>
  </si>
  <si>
    <t>Polli Prügila osakapitali suurendmine</t>
  </si>
  <si>
    <t>Tartu Ülikooli spordihoone ehituse laenude tasumise toetamine</t>
  </si>
  <si>
    <t>EMÜ spordihoone ehituse laenude tasumise toetamine</t>
  </si>
  <si>
    <t xml:space="preserve">   Kõrgharidus</t>
  </si>
  <si>
    <t xml:space="preserve">Tartu Ülikool  ühiselamute renoveerimise projekti kaasfinantseerimine </t>
  </si>
  <si>
    <t xml:space="preserve"> Eesti Maaülikool  ühiselamute renoveerimise projekti kaasfinantseerimine </t>
  </si>
  <si>
    <t>SOTSIAALABI OSAKOND</t>
  </si>
  <si>
    <t xml:space="preserve">   Valla-ja linnavalitsus</t>
  </si>
  <si>
    <t>Elektriautode soetus</t>
  </si>
  <si>
    <t xml:space="preserve">   Puuetega inimeste sotsiaalhoolekande asutused</t>
  </si>
  <si>
    <t>Tartu Hooldekodu aia kujundus</t>
  </si>
  <si>
    <t>Laste Turvakodu konvektsiooniahi</t>
  </si>
  <si>
    <r>
      <t xml:space="preserve">    </t>
    </r>
    <r>
      <rPr>
        <b/>
        <i/>
        <sz val="8"/>
        <rFont val="Arial"/>
        <family val="2"/>
      </rPr>
      <t>Muu sotsiaalne kaitse</t>
    </r>
    <r>
      <rPr>
        <sz val="8"/>
        <rFont val="Arial"/>
        <family val="2"/>
      </rPr>
      <t xml:space="preserve"> </t>
    </r>
  </si>
  <si>
    <t>Finantseerimistegevuse kulud kasutajate lõikes</t>
  </si>
  <si>
    <t xml:space="preserve">Finantseerimistehingud </t>
  </si>
  <si>
    <t>3.6.1.2</t>
  </si>
  <si>
    <t xml:space="preserve">Riigi Kinnisvara ASle (H.Masingu Kooli, J.Poska Gümnaasiumi)  põhiosa maksed  </t>
  </si>
  <si>
    <t>Maarja Kooli bussi kapitaliliisingu põhiosa maksed</t>
  </si>
  <si>
    <t>3.7.1.2</t>
  </si>
  <si>
    <t>O.Lutsu nim. Linnaraamatukogu väikebussi kasutusrent</t>
  </si>
  <si>
    <t>3.10.1.2</t>
  </si>
  <si>
    <t>Valitsussektori võla teenindamine</t>
  </si>
  <si>
    <t xml:space="preserve">Sõiduauto liisingmaksed </t>
  </si>
  <si>
    <r>
      <t>Finantseerimistehingud-</t>
    </r>
    <r>
      <rPr>
        <sz val="8"/>
        <rFont val="Arial"/>
        <family val="2"/>
      </rPr>
      <t>emiteeritud võlakirjade tagasimaksed</t>
    </r>
  </si>
  <si>
    <t>3.11.1.4</t>
  </si>
  <si>
    <t>KOKKU</t>
  </si>
  <si>
    <t>Investeeringud heitkoguse ühiku müügi vahenditest</t>
  </si>
  <si>
    <t>sihtfinantseerimisega projektid</t>
  </si>
  <si>
    <t xml:space="preserve">OT </t>
  </si>
  <si>
    <t>omatulud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</si>
</sst>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&quot;kr&quot;_-;\-* #,##0\ &quot;kr&quot;_-;_-* &quot;-&quot;\ &quot;kr&quot;_-;_-@_-"/>
    <numFmt numFmtId="166" formatCode="_-* #,##0\ _k_r_-;\-* #,##0\ _k_r_-;_-* &quot;-&quot;\ _k_r_-;_-@_-"/>
    <numFmt numFmtId="167" formatCode="_-* #,##0.00\ &quot;kr&quot;_-;\-* #,##0.00\ &quot;kr&quot;_-;_-* &quot;-&quot;??\ &quot;kr&quot;_-;_-@_-"/>
    <numFmt numFmtId="168" formatCode="_-* #,##0.00\ _k_r_-;\-* #,##0.00\ _k_r_-;_-* &quot;-&quot;??\ _k_r_-;_-@_-"/>
    <numFmt numFmtId="169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29"/>
      <name val="Arial"/>
      <family val="2"/>
    </font>
    <font>
      <sz val="10"/>
      <color indexed="2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Times New Roman"/>
      <family val="1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5" tint="0.39998000860214233"/>
      <name val="Arial"/>
      <family val="2"/>
    </font>
    <font>
      <sz val="10"/>
      <color theme="5" tint="0.39998000860214233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D2DC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/>
      <bottom style="medium"/>
    </border>
    <border>
      <left style="medium"/>
      <right/>
      <top/>
      <bottom style="thin"/>
    </border>
    <border>
      <left style="hair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hair"/>
      <right/>
      <top style="thin"/>
      <bottom style="thin"/>
    </border>
    <border>
      <left/>
      <right/>
      <top style="medium"/>
      <bottom style="medium"/>
    </border>
    <border>
      <left style="hair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medium"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hair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 style="hair"/>
      <right/>
      <top>
        <color indexed="63"/>
      </top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53">
    <xf numFmtId="0" fontId="0" fillId="0" borderId="0" xfId="0" applyFont="1" applyAlignment="1">
      <alignment/>
    </xf>
    <xf numFmtId="0" fontId="3" fillId="0" borderId="0" xfId="55" applyFont="1" applyAlignment="1">
      <alignment vertical="center"/>
      <protection/>
    </xf>
    <xf numFmtId="0" fontId="4" fillId="0" borderId="0" xfId="55" applyFont="1" applyFill="1" applyAlignment="1" applyProtection="1">
      <alignment vertical="center"/>
      <protection locked="0"/>
    </xf>
    <xf numFmtId="0" fontId="5" fillId="0" borderId="0" xfId="55" applyFont="1" applyAlignment="1" applyProtection="1">
      <alignment vertical="center"/>
      <protection locked="0"/>
    </xf>
    <xf numFmtId="4" fontId="6" fillId="0" borderId="0" xfId="55" applyNumberFormat="1" applyFont="1" applyBorder="1" applyAlignment="1" applyProtection="1">
      <alignment vertical="center"/>
      <protection locked="0"/>
    </xf>
    <xf numFmtId="0" fontId="5" fillId="0" borderId="0" xfId="55" applyFont="1" applyAlignment="1">
      <alignment vertical="center"/>
      <protection/>
    </xf>
    <xf numFmtId="0" fontId="8" fillId="0" borderId="10" xfId="59" applyFont="1" applyFill="1" applyBorder="1" applyAlignment="1" applyProtection="1">
      <alignment horizontal="left" vertical="center"/>
      <protection locked="0"/>
    </xf>
    <xf numFmtId="0" fontId="9" fillId="0" borderId="11" xfId="59" applyFont="1" applyFill="1" applyBorder="1" applyAlignment="1" applyProtection="1">
      <alignment horizontal="right" vertical="center"/>
      <protection locked="0"/>
    </xf>
    <xf numFmtId="14" fontId="62" fillId="0" borderId="12" xfId="59" applyNumberFormat="1" applyFont="1" applyFill="1" applyBorder="1" applyAlignment="1" applyProtection="1">
      <alignment horizontal="left" vertical="center"/>
      <protection locked="0"/>
    </xf>
    <xf numFmtId="0" fontId="11" fillId="0" borderId="10" xfId="55" applyFont="1" applyBorder="1" applyAlignment="1">
      <alignment horizontal="left" vertical="center"/>
      <protection/>
    </xf>
    <xf numFmtId="0" fontId="8" fillId="0" borderId="11" xfId="55" applyFont="1" applyBorder="1" applyAlignment="1">
      <alignment vertical="center"/>
      <protection/>
    </xf>
    <xf numFmtId="0" fontId="11" fillId="0" borderId="12" xfId="59" applyFont="1" applyFill="1" applyBorder="1" applyAlignment="1" applyProtection="1">
      <alignment horizontal="left" vertical="center"/>
      <protection locked="0"/>
    </xf>
    <xf numFmtId="0" fontId="12" fillId="33" borderId="13" xfId="59" applyFont="1" applyFill="1" applyBorder="1" applyAlignment="1">
      <alignment horizontal="left" vertical="center"/>
      <protection/>
    </xf>
    <xf numFmtId="0" fontId="12" fillId="33" borderId="14" xfId="59" applyFont="1" applyFill="1" applyBorder="1" applyAlignment="1">
      <alignment horizontal="left" vertical="center"/>
      <protection/>
    </xf>
    <xf numFmtId="0" fontId="12" fillId="33" borderId="15" xfId="59" applyFont="1" applyFill="1" applyBorder="1" applyAlignment="1">
      <alignment vertical="center"/>
      <protection/>
    </xf>
    <xf numFmtId="3" fontId="13" fillId="33" borderId="14" xfId="59" applyNumberFormat="1" applyFont="1" applyFill="1" applyBorder="1" applyAlignment="1" applyProtection="1">
      <alignment vertical="center"/>
      <protection/>
    </xf>
    <xf numFmtId="3" fontId="13" fillId="33" borderId="16" xfId="59" applyNumberFormat="1" applyFont="1" applyFill="1" applyBorder="1" applyAlignment="1" applyProtection="1">
      <alignment vertical="center"/>
      <protection/>
    </xf>
    <xf numFmtId="3" fontId="5" fillId="0" borderId="0" xfId="55" applyNumberFormat="1" applyFont="1" applyAlignment="1">
      <alignment vertical="center"/>
      <protection/>
    </xf>
    <xf numFmtId="0" fontId="14" fillId="32" borderId="17" xfId="55" applyFont="1" applyFill="1" applyBorder="1" applyAlignment="1">
      <alignment horizontal="left" vertical="center"/>
      <protection/>
    </xf>
    <xf numFmtId="0" fontId="14" fillId="32" borderId="11" xfId="55" applyFont="1" applyFill="1" applyBorder="1" applyAlignment="1">
      <alignment horizontal="left" vertical="center"/>
      <protection/>
    </xf>
    <xf numFmtId="0" fontId="12" fillId="32" borderId="12" xfId="59" applyFont="1" applyFill="1" applyBorder="1" applyAlignment="1">
      <alignment vertical="center"/>
      <protection/>
    </xf>
    <xf numFmtId="3" fontId="13" fillId="32" borderId="11" xfId="59" applyNumberFormat="1" applyFont="1" applyFill="1" applyBorder="1" applyAlignment="1" applyProtection="1">
      <alignment vertical="center"/>
      <protection/>
    </xf>
    <xf numFmtId="3" fontId="13" fillId="32" borderId="18" xfId="59" applyNumberFormat="1" applyFont="1" applyFill="1" applyBorder="1" applyAlignment="1" applyProtection="1">
      <alignment vertical="center"/>
      <protection/>
    </xf>
    <xf numFmtId="0" fontId="8" fillId="0" borderId="19" xfId="59" applyFont="1" applyFill="1" applyBorder="1" applyAlignment="1">
      <alignment horizontal="left" vertical="center"/>
      <protection/>
    </xf>
    <xf numFmtId="0" fontId="8" fillId="0" borderId="0" xfId="59" applyFont="1" applyFill="1" applyBorder="1" applyAlignment="1">
      <alignment horizontal="left" vertical="center"/>
      <protection/>
    </xf>
    <xf numFmtId="0" fontId="15" fillId="0" borderId="20" xfId="59" applyFont="1" applyFill="1" applyBorder="1" applyAlignment="1">
      <alignment vertical="center"/>
      <protection/>
    </xf>
    <xf numFmtId="3" fontId="16" fillId="0" borderId="0" xfId="59" applyNumberFormat="1" applyFont="1" applyFill="1" applyBorder="1" applyAlignment="1" applyProtection="1">
      <alignment vertical="center"/>
      <protection locked="0"/>
    </xf>
    <xf numFmtId="0" fontId="15" fillId="0" borderId="20" xfId="55" applyFont="1" applyFill="1" applyBorder="1" applyAlignment="1">
      <alignment vertical="center"/>
      <protection/>
    </xf>
    <xf numFmtId="0" fontId="14" fillId="32" borderId="21" xfId="59" applyFont="1" applyFill="1" applyBorder="1" applyAlignment="1">
      <alignment horizontal="left" vertical="center"/>
      <protection/>
    </xf>
    <xf numFmtId="0" fontId="14" fillId="32" borderId="22" xfId="59" applyFont="1" applyFill="1" applyBorder="1" applyAlignment="1">
      <alignment horizontal="left" vertical="center"/>
      <protection/>
    </xf>
    <xf numFmtId="0" fontId="12" fillId="32" borderId="23" xfId="59" applyFont="1" applyFill="1" applyBorder="1" applyAlignment="1">
      <alignment vertical="center"/>
      <protection/>
    </xf>
    <xf numFmtId="3" fontId="13" fillId="32" borderId="22" xfId="59" applyNumberFormat="1" applyFont="1" applyFill="1" applyBorder="1" applyAlignment="1" applyProtection="1">
      <alignment vertical="center"/>
      <protection/>
    </xf>
    <xf numFmtId="3" fontId="13" fillId="32" borderId="24" xfId="59" applyNumberFormat="1" applyFont="1" applyFill="1" applyBorder="1" applyAlignment="1" applyProtection="1">
      <alignment vertical="center"/>
      <protection/>
    </xf>
    <xf numFmtId="0" fontId="5" fillId="0" borderId="0" xfId="55" applyFont="1" applyAlignment="1">
      <alignment horizontal="center" vertical="center"/>
      <protection/>
    </xf>
    <xf numFmtId="3" fontId="13" fillId="33" borderId="25" xfId="59" applyNumberFormat="1" applyFont="1" applyFill="1" applyBorder="1" applyAlignment="1" applyProtection="1">
      <alignment vertical="center"/>
      <protection/>
    </xf>
    <xf numFmtId="3" fontId="13" fillId="33" borderId="26" xfId="59" applyNumberFormat="1" applyFont="1" applyFill="1" applyBorder="1" applyAlignment="1" applyProtection="1">
      <alignment vertical="center"/>
      <protection/>
    </xf>
    <xf numFmtId="0" fontId="14" fillId="32" borderId="27" xfId="59" applyFont="1" applyFill="1" applyBorder="1" applyAlignment="1">
      <alignment horizontal="left" vertical="center"/>
      <protection/>
    </xf>
    <xf numFmtId="0" fontId="14" fillId="32" borderId="28" xfId="59" applyFont="1" applyFill="1" applyBorder="1" applyAlignment="1">
      <alignment horizontal="left" vertical="center"/>
      <protection/>
    </xf>
    <xf numFmtId="0" fontId="12" fillId="32" borderId="29" xfId="59" applyFont="1" applyFill="1" applyBorder="1" applyAlignment="1">
      <alignment vertical="center"/>
      <protection/>
    </xf>
    <xf numFmtId="3" fontId="13" fillId="32" borderId="28" xfId="59" applyNumberFormat="1" applyFont="1" applyFill="1" applyBorder="1" applyAlignment="1" applyProtection="1">
      <alignment vertical="center"/>
      <protection/>
    </xf>
    <xf numFmtId="0" fontId="8" fillId="34" borderId="19" xfId="59" applyFont="1" applyFill="1" applyBorder="1" applyAlignment="1">
      <alignment horizontal="left" vertical="center"/>
      <protection/>
    </xf>
    <xf numFmtId="0" fontId="8" fillId="34" borderId="0" xfId="59" applyFont="1" applyFill="1" applyBorder="1" applyAlignment="1">
      <alignment horizontal="left" vertical="center"/>
      <protection/>
    </xf>
    <xf numFmtId="0" fontId="15" fillId="34" borderId="20" xfId="59" applyFont="1" applyFill="1" applyBorder="1" applyAlignment="1">
      <alignment vertical="center"/>
      <protection/>
    </xf>
    <xf numFmtId="3" fontId="16" fillId="34" borderId="0" xfId="59" applyNumberFormat="1" applyFont="1" applyFill="1" applyBorder="1" applyAlignment="1" applyProtection="1">
      <alignment vertical="center"/>
      <protection locked="0"/>
    </xf>
    <xf numFmtId="0" fontId="8" fillId="0" borderId="13" xfId="59" applyFont="1" applyFill="1" applyBorder="1" applyAlignment="1">
      <alignment horizontal="left" vertical="center"/>
      <protection/>
    </xf>
    <xf numFmtId="0" fontId="8" fillId="0" borderId="14" xfId="59" applyFont="1" applyFill="1" applyBorder="1" applyAlignment="1">
      <alignment horizontal="left" vertical="center"/>
      <protection/>
    </xf>
    <xf numFmtId="0" fontId="15" fillId="0" borderId="15" xfId="59" applyFont="1" applyFill="1" applyBorder="1" applyAlignment="1">
      <alignment vertical="center"/>
      <protection/>
    </xf>
    <xf numFmtId="0" fontId="12" fillId="35" borderId="13" xfId="55" applyFont="1" applyFill="1" applyBorder="1" applyAlignment="1">
      <alignment horizontal="left" vertical="center"/>
      <protection/>
    </xf>
    <xf numFmtId="0" fontId="12" fillId="35" borderId="14" xfId="55" applyFont="1" applyFill="1" applyBorder="1" applyAlignment="1">
      <alignment horizontal="left" vertical="center"/>
      <protection/>
    </xf>
    <xf numFmtId="0" fontId="8" fillId="35" borderId="15" xfId="55" applyFont="1" applyFill="1" applyBorder="1" applyAlignment="1">
      <alignment vertical="center"/>
      <protection/>
    </xf>
    <xf numFmtId="3" fontId="12" fillId="35" borderId="25" xfId="55" applyNumberFormat="1" applyFont="1" applyFill="1" applyBorder="1" applyAlignment="1">
      <alignment vertical="center"/>
      <protection/>
    </xf>
    <xf numFmtId="0" fontId="12" fillId="33" borderId="30" xfId="55" applyFont="1" applyFill="1" applyBorder="1" applyAlignment="1">
      <alignment horizontal="left" vertical="center"/>
      <protection/>
    </xf>
    <xf numFmtId="0" fontId="12" fillId="33" borderId="25" xfId="55" applyFont="1" applyFill="1" applyBorder="1" applyAlignment="1">
      <alignment horizontal="left" vertical="center"/>
      <protection/>
    </xf>
    <xf numFmtId="0" fontId="8" fillId="33" borderId="31" xfId="55" applyFont="1" applyFill="1" applyBorder="1" applyAlignment="1">
      <alignment vertical="center"/>
      <protection/>
    </xf>
    <xf numFmtId="3" fontId="12" fillId="33" borderId="25" xfId="55" applyNumberFormat="1" applyFont="1" applyFill="1" applyBorder="1" applyAlignment="1">
      <alignment vertical="center"/>
      <protection/>
    </xf>
    <xf numFmtId="3" fontId="12" fillId="33" borderId="26" xfId="55" applyNumberFormat="1" applyFont="1" applyFill="1" applyBorder="1" applyAlignment="1">
      <alignment vertical="center"/>
      <protection/>
    </xf>
    <xf numFmtId="0" fontId="5" fillId="34" borderId="0" xfId="59" applyFont="1" applyFill="1" applyBorder="1" applyAlignment="1">
      <alignment horizontal="left" vertical="center"/>
      <protection/>
    </xf>
    <xf numFmtId="49" fontId="8" fillId="0" borderId="19" xfId="59" applyNumberFormat="1" applyFont="1" applyFill="1" applyBorder="1" applyAlignment="1">
      <alignment horizontal="left" vertical="center"/>
      <protection/>
    </xf>
    <xf numFmtId="0" fontId="8" fillId="0" borderId="0" xfId="55" applyFont="1" applyFill="1" applyBorder="1" applyAlignment="1">
      <alignment horizontal="left" vertical="center"/>
      <protection/>
    </xf>
    <xf numFmtId="0" fontId="15" fillId="0" borderId="20" xfId="55" applyFont="1" applyFill="1" applyBorder="1" applyAlignment="1">
      <alignment horizontal="left" vertical="center"/>
      <protection/>
    </xf>
    <xf numFmtId="0" fontId="8" fillId="0" borderId="19" xfId="55" applyFont="1" applyFill="1" applyBorder="1" applyAlignment="1">
      <alignment horizontal="left" vertical="center"/>
      <protection/>
    </xf>
    <xf numFmtId="0" fontId="8" fillId="10" borderId="30" xfId="55" applyFont="1" applyFill="1" applyBorder="1" applyAlignment="1">
      <alignment horizontal="left" vertical="center"/>
      <protection/>
    </xf>
    <xf numFmtId="0" fontId="12" fillId="35" borderId="25" xfId="59" applyFont="1" applyFill="1" applyBorder="1" applyAlignment="1">
      <alignment horizontal="left" vertical="center"/>
      <protection/>
    </xf>
    <xf numFmtId="0" fontId="8" fillId="35" borderId="31" xfId="59" applyFont="1" applyFill="1" applyBorder="1" applyAlignment="1">
      <alignment vertical="center"/>
      <protection/>
    </xf>
    <xf numFmtId="3" fontId="12" fillId="35" borderId="26" xfId="55" applyNumberFormat="1" applyFont="1" applyFill="1" applyBorder="1" applyAlignment="1">
      <alignment vertical="center"/>
      <protection/>
    </xf>
    <xf numFmtId="0" fontId="8" fillId="33" borderId="30" xfId="55" applyFont="1" applyFill="1" applyBorder="1" applyAlignment="1">
      <alignment horizontal="left" vertical="center"/>
      <protection/>
    </xf>
    <xf numFmtId="49" fontId="8" fillId="0" borderId="32" xfId="59" applyNumberFormat="1" applyFont="1" applyFill="1" applyBorder="1" applyAlignment="1">
      <alignment horizontal="left" vertical="center"/>
      <protection/>
    </xf>
    <xf numFmtId="49" fontId="8" fillId="0" borderId="33" xfId="59" applyNumberFormat="1" applyFont="1" applyFill="1" applyBorder="1" applyAlignment="1">
      <alignment horizontal="left" vertical="center"/>
      <protection/>
    </xf>
    <xf numFmtId="0" fontId="15" fillId="0" borderId="34" xfId="59" applyFont="1" applyFill="1" applyBorder="1" applyAlignment="1">
      <alignment horizontal="left" vertical="center"/>
      <protection/>
    </xf>
    <xf numFmtId="3" fontId="16" fillId="0" borderId="35" xfId="59" applyNumberFormat="1" applyFont="1" applyFill="1" applyBorder="1" applyAlignment="1" applyProtection="1">
      <alignment vertical="center"/>
      <protection locked="0"/>
    </xf>
    <xf numFmtId="3" fontId="16" fillId="0" borderId="36" xfId="59" applyNumberFormat="1" applyFont="1" applyFill="1" applyBorder="1" applyAlignment="1" applyProtection="1">
      <alignment vertical="center"/>
      <protection locked="0"/>
    </xf>
    <xf numFmtId="49" fontId="8" fillId="34" borderId="19" xfId="59" applyNumberFormat="1" applyFont="1" applyFill="1" applyBorder="1" applyAlignment="1">
      <alignment horizontal="left" vertical="center"/>
      <protection/>
    </xf>
    <xf numFmtId="49" fontId="8" fillId="34" borderId="0" xfId="59" applyNumberFormat="1" applyFont="1" applyFill="1" applyBorder="1" applyAlignment="1">
      <alignment horizontal="left" vertical="center"/>
      <protection/>
    </xf>
    <xf numFmtId="0" fontId="15" fillId="34" borderId="20" xfId="59" applyFont="1" applyFill="1" applyBorder="1" applyAlignment="1">
      <alignment horizontal="left" vertical="center"/>
      <protection/>
    </xf>
    <xf numFmtId="49" fontId="8" fillId="0" borderId="37" xfId="59" applyNumberFormat="1" applyFont="1" applyFill="1" applyBorder="1" applyAlignment="1">
      <alignment horizontal="left" vertical="center"/>
      <protection/>
    </xf>
    <xf numFmtId="49" fontId="8" fillId="0" borderId="35" xfId="59" applyNumberFormat="1" applyFont="1" applyFill="1" applyBorder="1" applyAlignment="1">
      <alignment horizontal="left" vertical="center"/>
      <protection/>
    </xf>
    <xf numFmtId="49" fontId="8" fillId="34" borderId="14" xfId="59" applyNumberFormat="1" applyFont="1" applyFill="1" applyBorder="1" applyAlignment="1">
      <alignment horizontal="left" vertical="center"/>
      <protection/>
    </xf>
    <xf numFmtId="3" fontId="13" fillId="36" borderId="0" xfId="59" applyNumberFormat="1" applyFont="1" applyFill="1" applyBorder="1" applyAlignment="1" applyProtection="1">
      <alignment vertical="center"/>
      <protection/>
    </xf>
    <xf numFmtId="49" fontId="12" fillId="32" borderId="38" xfId="59" applyNumberFormat="1" applyFont="1" applyFill="1" applyBorder="1" applyAlignment="1">
      <alignment horizontal="left" vertical="center"/>
      <protection/>
    </xf>
    <xf numFmtId="0" fontId="14" fillId="32" borderId="39" xfId="59" applyFont="1" applyFill="1" applyBorder="1" applyAlignment="1">
      <alignment horizontal="left" vertical="center"/>
      <protection/>
    </xf>
    <xf numFmtId="0" fontId="14" fillId="32" borderId="40" xfId="59" applyFont="1" applyFill="1" applyBorder="1" applyAlignment="1">
      <alignment vertical="center"/>
      <protection/>
    </xf>
    <xf numFmtId="3" fontId="13" fillId="32" borderId="39" xfId="55" applyNumberFormat="1" applyFont="1" applyFill="1" applyBorder="1" applyAlignment="1" applyProtection="1">
      <alignment vertical="center"/>
      <protection/>
    </xf>
    <xf numFmtId="49" fontId="12" fillId="32" borderId="41" xfId="59" applyNumberFormat="1" applyFont="1" applyFill="1" applyBorder="1" applyAlignment="1">
      <alignment horizontal="left" vertical="center"/>
      <protection/>
    </xf>
    <xf numFmtId="0" fontId="14" fillId="32" borderId="0" xfId="59" applyFont="1" applyFill="1" applyBorder="1" applyAlignment="1">
      <alignment horizontal="left" vertical="center"/>
      <protection/>
    </xf>
    <xf numFmtId="0" fontId="14" fillId="32" borderId="20" xfId="55" applyFont="1" applyFill="1" applyBorder="1" applyAlignment="1">
      <alignment vertical="center"/>
      <protection/>
    </xf>
    <xf numFmtId="3" fontId="13" fillId="32" borderId="0" xfId="55" applyNumberFormat="1" applyFont="1" applyFill="1" applyBorder="1" applyAlignment="1" applyProtection="1">
      <alignment vertical="center"/>
      <protection/>
    </xf>
    <xf numFmtId="3" fontId="13" fillId="32" borderId="42" xfId="55" applyNumberFormat="1" applyFont="1" applyFill="1" applyBorder="1" applyAlignment="1" applyProtection="1">
      <alignment vertical="center"/>
      <protection/>
    </xf>
    <xf numFmtId="0" fontId="8" fillId="36" borderId="41" xfId="55" applyFont="1" applyFill="1" applyBorder="1" applyAlignment="1">
      <alignment horizontal="left" vertical="center"/>
      <protection/>
    </xf>
    <xf numFmtId="3" fontId="13" fillId="36" borderId="42" xfId="59" applyNumberFormat="1" applyFont="1" applyFill="1" applyBorder="1" applyAlignment="1" applyProtection="1">
      <alignment vertical="center"/>
      <protection/>
    </xf>
    <xf numFmtId="3" fontId="12" fillId="36" borderId="43" xfId="59" applyNumberFormat="1" applyFont="1" applyFill="1" applyBorder="1" applyAlignment="1" applyProtection="1">
      <alignment vertical="center"/>
      <protection/>
    </xf>
    <xf numFmtId="0" fontId="14" fillId="32" borderId="20" xfId="59" applyFont="1" applyFill="1" applyBorder="1" applyAlignment="1">
      <alignment vertical="center"/>
      <protection/>
    </xf>
    <xf numFmtId="3" fontId="13" fillId="32" borderId="43" xfId="55" applyNumberFormat="1" applyFont="1" applyFill="1" applyBorder="1" applyAlignment="1" applyProtection="1">
      <alignment vertical="center"/>
      <protection/>
    </xf>
    <xf numFmtId="3" fontId="8" fillId="0" borderId="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49" fontId="12" fillId="32" borderId="44" xfId="59" applyNumberFormat="1" applyFont="1" applyFill="1" applyBorder="1" applyAlignment="1">
      <alignment horizontal="left" vertical="center"/>
      <protection/>
    </xf>
    <xf numFmtId="0" fontId="14" fillId="32" borderId="14" xfId="59" applyFont="1" applyFill="1" applyBorder="1" applyAlignment="1">
      <alignment horizontal="left" vertical="center"/>
      <protection/>
    </xf>
    <xf numFmtId="0" fontId="14" fillId="32" borderId="15" xfId="55" applyFont="1" applyFill="1" applyBorder="1" applyAlignment="1">
      <alignment vertical="center"/>
      <protection/>
    </xf>
    <xf numFmtId="3" fontId="13" fillId="32" borderId="45" xfId="55" applyNumberFormat="1" applyFont="1" applyFill="1" applyBorder="1" applyAlignment="1" applyProtection="1">
      <alignment vertical="center"/>
      <protection/>
    </xf>
    <xf numFmtId="3" fontId="13" fillId="32" borderId="46" xfId="55" applyNumberFormat="1" applyFont="1" applyFill="1" applyBorder="1" applyAlignment="1" applyProtection="1">
      <alignment vertical="center"/>
      <protection/>
    </xf>
    <xf numFmtId="0" fontId="8" fillId="0" borderId="0" xfId="55" applyFont="1" applyAlignment="1">
      <alignment vertical="center"/>
      <protection/>
    </xf>
    <xf numFmtId="3" fontId="5" fillId="0" borderId="0" xfId="55" applyNumberFormat="1" applyFont="1" applyBorder="1" applyAlignment="1">
      <alignment vertical="center"/>
      <protection/>
    </xf>
    <xf numFmtId="4" fontId="5" fillId="0" borderId="0" xfId="55" applyNumberFormat="1" applyFont="1" applyAlignment="1">
      <alignment vertical="center"/>
      <protection/>
    </xf>
    <xf numFmtId="4" fontId="5" fillId="0" borderId="0" xfId="55" applyNumberFormat="1" applyFont="1" applyBorder="1" applyAlignment="1">
      <alignment vertical="center"/>
      <protection/>
    </xf>
    <xf numFmtId="4" fontId="16" fillId="0" borderId="0" xfId="55" applyNumberFormat="1" applyFont="1" applyBorder="1" applyAlignment="1">
      <alignment vertical="center"/>
      <protection/>
    </xf>
    <xf numFmtId="0" fontId="12" fillId="33" borderId="47" xfId="55" applyFont="1" applyFill="1" applyBorder="1" applyAlignment="1">
      <alignment horizontal="left" vertical="center"/>
      <protection/>
    </xf>
    <xf numFmtId="0" fontId="12" fillId="33" borderId="48" xfId="59" applyFont="1" applyFill="1" applyBorder="1" applyAlignment="1">
      <alignment horizontal="left" vertical="center"/>
      <protection/>
    </xf>
    <xf numFmtId="0" fontId="8" fillId="33" borderId="49" xfId="59" applyFont="1" applyFill="1" applyBorder="1" applyAlignment="1">
      <alignment vertical="center"/>
      <protection/>
    </xf>
    <xf numFmtId="3" fontId="12" fillId="33" borderId="48" xfId="59" applyNumberFormat="1" applyFont="1" applyFill="1" applyBorder="1" applyAlignment="1">
      <alignment horizontal="right" vertical="center"/>
      <protection/>
    </xf>
    <xf numFmtId="0" fontId="5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horizontal="center" vertical="center"/>
      <protection/>
    </xf>
    <xf numFmtId="164" fontId="13" fillId="33" borderId="50" xfId="59" applyNumberFormat="1" applyFont="1" applyFill="1" applyBorder="1" applyAlignment="1" applyProtection="1">
      <alignment vertical="center"/>
      <protection/>
    </xf>
    <xf numFmtId="164" fontId="13" fillId="32" borderId="10" xfId="59" applyNumberFormat="1" applyFont="1" applyFill="1" applyBorder="1" applyAlignment="1" applyProtection="1">
      <alignment vertical="center"/>
      <protection/>
    </xf>
    <xf numFmtId="164" fontId="16" fillId="0" borderId="41" xfId="59" applyNumberFormat="1" applyFont="1" applyFill="1" applyBorder="1" applyAlignment="1" applyProtection="1">
      <alignment vertical="center"/>
      <protection locked="0"/>
    </xf>
    <xf numFmtId="164" fontId="13" fillId="32" borderId="51" xfId="59" applyNumberFormat="1" applyFont="1" applyFill="1" applyBorder="1" applyAlignment="1" applyProtection="1">
      <alignment vertical="center"/>
      <protection/>
    </xf>
    <xf numFmtId="164" fontId="13" fillId="33" borderId="52" xfId="59" applyNumberFormat="1" applyFont="1" applyFill="1" applyBorder="1" applyAlignment="1" applyProtection="1">
      <alignment vertical="center"/>
      <protection/>
    </xf>
    <xf numFmtId="164" fontId="13" fillId="32" borderId="53" xfId="59" applyNumberFormat="1" applyFont="1" applyFill="1" applyBorder="1" applyAlignment="1" applyProtection="1">
      <alignment vertical="center"/>
      <protection/>
    </xf>
    <xf numFmtId="164" fontId="16" fillId="34" borderId="41" xfId="59" applyNumberFormat="1" applyFont="1" applyFill="1" applyBorder="1" applyAlignment="1" applyProtection="1">
      <alignment vertical="center"/>
      <protection locked="0"/>
    </xf>
    <xf numFmtId="164" fontId="12" fillId="35" borderId="52" xfId="55" applyNumberFormat="1" applyFont="1" applyFill="1" applyBorder="1" applyAlignment="1">
      <alignment vertical="center"/>
      <protection/>
    </xf>
    <xf numFmtId="164" fontId="12" fillId="33" borderId="52" xfId="55" applyNumberFormat="1" applyFont="1" applyFill="1" applyBorder="1" applyAlignment="1">
      <alignment vertical="center"/>
      <protection/>
    </xf>
    <xf numFmtId="164" fontId="16" fillId="0" borderId="54" xfId="59" applyNumberFormat="1" applyFont="1" applyFill="1" applyBorder="1" applyAlignment="1" applyProtection="1">
      <alignment vertical="center"/>
      <protection locked="0"/>
    </xf>
    <xf numFmtId="164" fontId="13" fillId="32" borderId="38" xfId="55" applyNumberFormat="1" applyFont="1" applyFill="1" applyBorder="1" applyAlignment="1" applyProtection="1">
      <alignment vertical="center"/>
      <protection/>
    </xf>
    <xf numFmtId="164" fontId="13" fillId="32" borderId="41" xfId="55" applyNumberFormat="1" applyFont="1" applyFill="1" applyBorder="1" applyAlignment="1" applyProtection="1">
      <alignment vertical="center"/>
      <protection/>
    </xf>
    <xf numFmtId="164" fontId="12" fillId="36" borderId="41" xfId="59" applyNumberFormat="1" applyFont="1" applyFill="1" applyBorder="1" applyAlignment="1" applyProtection="1">
      <alignment vertical="center"/>
      <protection/>
    </xf>
    <xf numFmtId="164" fontId="13" fillId="32" borderId="41" xfId="55" applyNumberFormat="1" applyFont="1" applyFill="1" applyBorder="1" applyAlignment="1" applyProtection="1">
      <alignment horizontal="right" vertical="center"/>
      <protection/>
    </xf>
    <xf numFmtId="164" fontId="13" fillId="32" borderId="44" xfId="55" applyNumberFormat="1" applyFont="1" applyFill="1" applyBorder="1" applyAlignment="1" applyProtection="1">
      <alignment vertical="center"/>
      <protection/>
    </xf>
    <xf numFmtId="0" fontId="5" fillId="0" borderId="38" xfId="55" applyFont="1" applyBorder="1" applyAlignment="1">
      <alignment vertical="center"/>
      <protection/>
    </xf>
    <xf numFmtId="0" fontId="5" fillId="0" borderId="39" xfId="55" applyFont="1" applyBorder="1" applyAlignment="1">
      <alignment vertical="center"/>
      <protection/>
    </xf>
    <xf numFmtId="0" fontId="5" fillId="0" borderId="55" xfId="55" applyFont="1" applyBorder="1" applyAlignment="1">
      <alignment vertical="center"/>
      <protection/>
    </xf>
    <xf numFmtId="0" fontId="5" fillId="0" borderId="41" xfId="55" applyFont="1" applyBorder="1" applyAlignment="1">
      <alignment vertical="center"/>
      <protection/>
    </xf>
    <xf numFmtId="0" fontId="5" fillId="0" borderId="43" xfId="55" applyFont="1" applyBorder="1" applyAlignment="1">
      <alignment vertical="center"/>
      <protection/>
    </xf>
    <xf numFmtId="3" fontId="13" fillId="33" borderId="44" xfId="59" applyNumberFormat="1" applyFont="1" applyFill="1" applyBorder="1" applyAlignment="1" applyProtection="1">
      <alignment vertical="center"/>
      <protection/>
    </xf>
    <xf numFmtId="3" fontId="8" fillId="33" borderId="0" xfId="55" applyNumberFormat="1" applyFont="1" applyFill="1" applyBorder="1" applyAlignment="1">
      <alignment vertical="center"/>
      <protection/>
    </xf>
    <xf numFmtId="9" fontId="8" fillId="33" borderId="43" xfId="55" applyNumberFormat="1" applyFont="1" applyFill="1" applyBorder="1" applyAlignment="1">
      <alignment vertical="center"/>
      <protection/>
    </xf>
    <xf numFmtId="3" fontId="12" fillId="32" borderId="41" xfId="55" applyNumberFormat="1" applyFont="1" applyFill="1" applyBorder="1" applyAlignment="1">
      <alignment vertical="center"/>
      <protection/>
    </xf>
    <xf numFmtId="3" fontId="8" fillId="32" borderId="0" xfId="55" applyNumberFormat="1" applyFont="1" applyFill="1" applyBorder="1" applyAlignment="1">
      <alignment vertical="center"/>
      <protection/>
    </xf>
    <xf numFmtId="9" fontId="8" fillId="32" borderId="43" xfId="55" applyNumberFormat="1" applyFont="1" applyFill="1" applyBorder="1" applyAlignment="1">
      <alignment vertical="center"/>
      <protection/>
    </xf>
    <xf numFmtId="3" fontId="17" fillId="0" borderId="41" xfId="55" applyNumberFormat="1" applyFont="1" applyFill="1" applyBorder="1">
      <alignment/>
      <protection/>
    </xf>
    <xf numFmtId="164" fontId="8" fillId="0" borderId="43" xfId="55" applyNumberFormat="1" applyFont="1" applyBorder="1" applyAlignment="1">
      <alignment vertical="center"/>
      <protection/>
    </xf>
    <xf numFmtId="9" fontId="8" fillId="0" borderId="43" xfId="55" applyNumberFormat="1" applyFont="1" applyBorder="1" applyAlignment="1">
      <alignment vertical="center"/>
      <protection/>
    </xf>
    <xf numFmtId="3" fontId="8" fillId="0" borderId="41" xfId="55" applyNumberFormat="1" applyFont="1" applyBorder="1" applyAlignment="1">
      <alignment vertical="center"/>
      <protection/>
    </xf>
    <xf numFmtId="3" fontId="8" fillId="33" borderId="41" xfId="55" applyNumberFormat="1" applyFont="1" applyFill="1" applyBorder="1" applyAlignment="1">
      <alignment vertical="center"/>
      <protection/>
    </xf>
    <xf numFmtId="164" fontId="8" fillId="33" borderId="43" xfId="55" applyNumberFormat="1" applyFont="1" applyFill="1" applyBorder="1" applyAlignment="1">
      <alignment vertical="center"/>
      <protection/>
    </xf>
    <xf numFmtId="3" fontId="8" fillId="32" borderId="41" xfId="55" applyNumberFormat="1" applyFont="1" applyFill="1" applyBorder="1" applyAlignment="1">
      <alignment vertical="center"/>
      <protection/>
    </xf>
    <xf numFmtId="3" fontId="8" fillId="35" borderId="41" xfId="55" applyNumberFormat="1" applyFont="1" applyFill="1" applyBorder="1" applyAlignment="1">
      <alignment vertical="center"/>
      <protection/>
    </xf>
    <xf numFmtId="3" fontId="8" fillId="35" borderId="0" xfId="55" applyNumberFormat="1" applyFont="1" applyFill="1" applyBorder="1" applyAlignment="1">
      <alignment vertical="center"/>
      <protection/>
    </xf>
    <xf numFmtId="9" fontId="8" fillId="35" borderId="43" xfId="55" applyNumberFormat="1" applyFont="1" applyFill="1" applyBorder="1" applyAlignment="1">
      <alignment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8" fillId="0" borderId="11" xfId="55" applyNumberFormat="1" applyFont="1" applyBorder="1" applyAlignment="1">
      <alignment vertical="center"/>
      <protection/>
    </xf>
    <xf numFmtId="9" fontId="8" fillId="0" borderId="56" xfId="55" applyNumberFormat="1" applyFont="1" applyBorder="1" applyAlignment="1">
      <alignment vertical="center"/>
      <protection/>
    </xf>
    <xf numFmtId="0" fontId="5" fillId="0" borderId="51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57" xfId="55" applyFont="1" applyBorder="1" applyAlignment="1">
      <alignment horizontal="center" vertical="center"/>
      <protection/>
    </xf>
    <xf numFmtId="164" fontId="12" fillId="33" borderId="58" xfId="59" applyNumberFormat="1" applyFont="1" applyFill="1" applyBorder="1" applyAlignment="1">
      <alignment horizontal="right" vertical="center"/>
      <protection/>
    </xf>
    <xf numFmtId="0" fontId="8" fillId="36" borderId="19" xfId="55" applyFont="1" applyFill="1" applyBorder="1" applyAlignment="1">
      <alignment horizontal="left" vertical="center"/>
      <protection/>
    </xf>
    <xf numFmtId="3" fontId="12" fillId="36" borderId="59" xfId="59" applyNumberFormat="1" applyFont="1" applyFill="1" applyBorder="1" applyAlignment="1" applyProtection="1">
      <alignment vertical="center"/>
      <protection/>
    </xf>
    <xf numFmtId="0" fontId="12" fillId="0" borderId="51" xfId="55" applyFont="1" applyFill="1" applyBorder="1" applyAlignment="1">
      <alignment horizontal="left" vertical="center"/>
      <protection/>
    </xf>
    <xf numFmtId="0" fontId="12" fillId="0" borderId="22" xfId="59" applyFont="1" applyFill="1" applyBorder="1" applyAlignment="1">
      <alignment horizontal="left" vertical="center"/>
      <protection/>
    </xf>
    <xf numFmtId="0" fontId="8" fillId="0" borderId="23" xfId="59" applyFont="1" applyFill="1" applyBorder="1" applyAlignment="1">
      <alignment vertical="center"/>
      <protection/>
    </xf>
    <xf numFmtId="3" fontId="12" fillId="0" borderId="22" xfId="59" applyNumberFormat="1" applyFont="1" applyFill="1" applyBorder="1" applyAlignment="1">
      <alignment horizontal="right" vertical="center"/>
      <protection/>
    </xf>
    <xf numFmtId="164" fontId="12" fillId="0" borderId="51" xfId="59" applyNumberFormat="1" applyFont="1" applyFill="1" applyBorder="1" applyAlignment="1">
      <alignment horizontal="right" vertical="center"/>
      <protection/>
    </xf>
    <xf numFmtId="3" fontId="8" fillId="0" borderId="51" xfId="55" applyNumberFormat="1" applyFont="1" applyFill="1" applyBorder="1" applyAlignment="1">
      <alignment vertical="center"/>
      <protection/>
    </xf>
    <xf numFmtId="3" fontId="8" fillId="0" borderId="22" xfId="55" applyNumberFormat="1" applyFont="1" applyFill="1" applyBorder="1" applyAlignment="1">
      <alignment vertical="center"/>
      <protection/>
    </xf>
    <xf numFmtId="9" fontId="8" fillId="0" borderId="57" xfId="55" applyNumberFormat="1" applyFont="1" applyFill="1" applyBorder="1" applyAlignment="1">
      <alignment vertical="center"/>
      <protection/>
    </xf>
    <xf numFmtId="0" fontId="7" fillId="0" borderId="53" xfId="55" applyFont="1" applyBorder="1" applyAlignment="1">
      <alignment horizontal="center" vertical="center" wrapText="1"/>
      <protection/>
    </xf>
    <xf numFmtId="0" fontId="7" fillId="0" borderId="28" xfId="55" applyFont="1" applyBorder="1" applyAlignment="1">
      <alignment horizontal="center" vertical="center" wrapText="1"/>
      <protection/>
    </xf>
    <xf numFmtId="4" fontId="10" fillId="0" borderId="0" xfId="59" applyNumberFormat="1" applyFont="1" applyFill="1" applyBorder="1" applyAlignment="1" applyProtection="1">
      <alignment horizontal="center" vertical="center" wrapText="1"/>
      <protection locked="0"/>
    </xf>
    <xf numFmtId="4" fontId="10" fillId="0" borderId="11" xfId="59" applyNumberFormat="1" applyFont="1" applyFill="1" applyBorder="1" applyAlignment="1" applyProtection="1">
      <alignment horizontal="center" vertical="center" wrapText="1"/>
      <protection locked="0"/>
    </xf>
    <xf numFmtId="4" fontId="10" fillId="0" borderId="60" xfId="59" applyNumberFormat="1" applyFont="1" applyFill="1" applyBorder="1" applyAlignment="1" applyProtection="1">
      <alignment horizontal="center" vertical="center" wrapText="1"/>
      <protection locked="0"/>
    </xf>
    <xf numFmtId="4" fontId="10" fillId="0" borderId="61" xfId="59" applyNumberFormat="1" applyFont="1" applyFill="1" applyBorder="1" applyAlignment="1" applyProtection="1">
      <alignment horizontal="center" vertical="center" wrapText="1"/>
      <protection locked="0"/>
    </xf>
    <xf numFmtId="0" fontId="4" fillId="0" borderId="38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14" fillId="36" borderId="0" xfId="59" applyFont="1" applyFill="1" applyBorder="1" applyAlignment="1">
      <alignment vertical="center" wrapText="1"/>
      <protection/>
    </xf>
    <xf numFmtId="0" fontId="15" fillId="36" borderId="20" xfId="55" applyFont="1" applyFill="1" applyBorder="1" applyAlignment="1">
      <alignment vertical="center" wrapText="1"/>
      <protection/>
    </xf>
    <xf numFmtId="0" fontId="2" fillId="0" borderId="0" xfId="58" applyFill="1">
      <alignment/>
      <protection/>
    </xf>
    <xf numFmtId="0" fontId="37" fillId="0" borderId="0" xfId="58" applyFont="1" applyFill="1" applyBorder="1" applyAlignment="1">
      <alignment/>
      <protection/>
    </xf>
    <xf numFmtId="0" fontId="38" fillId="0" borderId="0" xfId="58" applyFont="1" applyFill="1" applyBorder="1" applyAlignment="1">
      <alignment/>
      <protection/>
    </xf>
    <xf numFmtId="0" fontId="39" fillId="0" borderId="0" xfId="58" applyFont="1" applyFill="1">
      <alignment/>
      <protection/>
    </xf>
    <xf numFmtId="0" fontId="2" fillId="0" borderId="62" xfId="58" applyFill="1" applyBorder="1">
      <alignment/>
      <protection/>
    </xf>
    <xf numFmtId="0" fontId="37" fillId="0" borderId="62" xfId="58" applyFont="1" applyFill="1" applyBorder="1" applyAlignment="1">
      <alignment/>
      <protection/>
    </xf>
    <xf numFmtId="0" fontId="38" fillId="0" borderId="62" xfId="58" applyFont="1" applyFill="1" applyBorder="1" applyAlignment="1">
      <alignment horizontal="center" wrapText="1"/>
      <protection/>
    </xf>
    <xf numFmtId="0" fontId="39" fillId="0" borderId="62" xfId="58" applyFont="1" applyFill="1" applyBorder="1">
      <alignment/>
      <protection/>
    </xf>
    <xf numFmtId="0" fontId="38" fillId="0" borderId="62" xfId="58" applyFont="1" applyFill="1" applyBorder="1">
      <alignment/>
      <protection/>
    </xf>
    <xf numFmtId="3" fontId="37" fillId="0" borderId="62" xfId="58" applyNumberFormat="1" applyFont="1" applyFill="1" applyBorder="1">
      <alignment/>
      <protection/>
    </xf>
    <xf numFmtId="3" fontId="38" fillId="0" borderId="62" xfId="58" applyNumberFormat="1" applyFont="1" applyFill="1" applyBorder="1">
      <alignment/>
      <protection/>
    </xf>
    <xf numFmtId="169" fontId="38" fillId="0" borderId="62" xfId="58" applyNumberFormat="1" applyFont="1" applyFill="1" applyBorder="1">
      <alignment/>
      <protection/>
    </xf>
    <xf numFmtId="0" fontId="37" fillId="0" borderId="63" xfId="58" applyFont="1" applyFill="1" applyBorder="1">
      <alignment/>
      <protection/>
    </xf>
    <xf numFmtId="0" fontId="37" fillId="0" borderId="64" xfId="58" applyFont="1" applyFill="1" applyBorder="1">
      <alignment/>
      <protection/>
    </xf>
    <xf numFmtId="0" fontId="2" fillId="0" borderId="0" xfId="58" applyFill="1" applyBorder="1">
      <alignment/>
      <protection/>
    </xf>
    <xf numFmtId="0" fontId="39" fillId="37" borderId="62" xfId="58" applyFont="1" applyFill="1" applyBorder="1">
      <alignment/>
      <protection/>
    </xf>
    <xf numFmtId="3" fontId="39" fillId="37" borderId="62" xfId="58" applyNumberFormat="1" applyFont="1" applyFill="1" applyBorder="1">
      <alignment/>
      <protection/>
    </xf>
    <xf numFmtId="169" fontId="39" fillId="0" borderId="62" xfId="58" applyNumberFormat="1" applyFont="1" applyFill="1" applyBorder="1">
      <alignment/>
      <protection/>
    </xf>
    <xf numFmtId="0" fontId="40" fillId="38" borderId="65" xfId="58" applyFont="1" applyFill="1" applyBorder="1">
      <alignment/>
      <protection/>
    </xf>
    <xf numFmtId="0" fontId="39" fillId="38" borderId="62" xfId="58" applyFont="1" applyFill="1" applyBorder="1">
      <alignment/>
      <protection/>
    </xf>
    <xf numFmtId="3" fontId="39" fillId="6" borderId="62" xfId="58" applyNumberFormat="1" applyFont="1" applyFill="1" applyBorder="1">
      <alignment/>
      <protection/>
    </xf>
    <xf numFmtId="0" fontId="2" fillId="39" borderId="0" xfId="58" applyFill="1">
      <alignment/>
      <protection/>
    </xf>
    <xf numFmtId="0" fontId="2" fillId="37" borderId="62" xfId="58" applyFill="1" applyBorder="1">
      <alignment/>
      <protection/>
    </xf>
    <xf numFmtId="0" fontId="39" fillId="0" borderId="62" xfId="58" applyFont="1" applyFill="1" applyBorder="1">
      <alignment/>
      <protection/>
    </xf>
    <xf numFmtId="3" fontId="39" fillId="0" borderId="62" xfId="58" applyNumberFormat="1" applyFont="1" applyFill="1" applyBorder="1">
      <alignment/>
      <protection/>
    </xf>
    <xf numFmtId="3" fontId="39" fillId="38" borderId="62" xfId="58" applyNumberFormat="1" applyFont="1" applyFill="1" applyBorder="1">
      <alignment/>
      <protection/>
    </xf>
    <xf numFmtId="169" fontId="39" fillId="38" borderId="62" xfId="58" applyNumberFormat="1" applyFont="1" applyFill="1" applyBorder="1">
      <alignment/>
      <protection/>
    </xf>
    <xf numFmtId="0" fontId="39" fillId="38" borderId="62" xfId="58" applyFont="1" applyFill="1" applyBorder="1">
      <alignment/>
      <protection/>
    </xf>
    <xf numFmtId="3" fontId="39" fillId="38" borderId="62" xfId="58" applyNumberFormat="1" applyFont="1" applyFill="1" applyBorder="1">
      <alignment/>
      <protection/>
    </xf>
    <xf numFmtId="0" fontId="39" fillId="2" borderId="62" xfId="58" applyFont="1" applyFill="1" applyBorder="1">
      <alignment/>
      <protection/>
    </xf>
    <xf numFmtId="3" fontId="39" fillId="2" borderId="62" xfId="58" applyNumberFormat="1" applyFont="1" applyFill="1" applyBorder="1">
      <alignment/>
      <protection/>
    </xf>
    <xf numFmtId="169" fontId="39" fillId="2" borderId="62" xfId="58" applyNumberFormat="1" applyFont="1" applyFill="1" applyBorder="1">
      <alignment/>
      <protection/>
    </xf>
    <xf numFmtId="3" fontId="38" fillId="37" borderId="62" xfId="58" applyNumberFormat="1" applyFont="1" applyFill="1" applyBorder="1">
      <alignment/>
      <protection/>
    </xf>
    <xf numFmtId="0" fontId="39" fillId="37" borderId="66" xfId="58" applyFont="1" applyFill="1" applyBorder="1">
      <alignment/>
      <protection/>
    </xf>
    <xf numFmtId="0" fontId="39" fillId="37" borderId="0" xfId="58" applyFont="1" applyFill="1" applyBorder="1">
      <alignment/>
      <protection/>
    </xf>
    <xf numFmtId="0" fontId="2" fillId="0" borderId="66" xfId="58" applyFill="1" applyBorder="1">
      <alignment/>
      <protection/>
    </xf>
    <xf numFmtId="169" fontId="38" fillId="0" borderId="66" xfId="58" applyNumberFormat="1" applyFont="1" applyFill="1" applyBorder="1">
      <alignment/>
      <protection/>
    </xf>
    <xf numFmtId="0" fontId="38" fillId="37" borderId="35" xfId="58" applyFont="1" applyFill="1" applyBorder="1">
      <alignment/>
      <protection/>
    </xf>
    <xf numFmtId="0" fontId="2" fillId="0" borderId="35" xfId="58" applyFill="1" applyBorder="1">
      <alignment/>
      <protection/>
    </xf>
    <xf numFmtId="169" fontId="38" fillId="0" borderId="35" xfId="58" applyNumberFormat="1" applyFont="1" applyFill="1" applyBorder="1">
      <alignment/>
      <protection/>
    </xf>
    <xf numFmtId="0" fontId="39" fillId="37" borderId="65" xfId="58" applyFont="1" applyFill="1" applyBorder="1">
      <alignment/>
      <protection/>
    </xf>
    <xf numFmtId="0" fontId="38" fillId="37" borderId="62" xfId="58" applyFont="1" applyFill="1" applyBorder="1">
      <alignment/>
      <protection/>
    </xf>
    <xf numFmtId="3" fontId="17" fillId="37" borderId="62" xfId="58" applyNumberFormat="1" applyFont="1" applyFill="1" applyBorder="1">
      <alignment/>
      <protection/>
    </xf>
    <xf numFmtId="3" fontId="39" fillId="37" borderId="62" xfId="58" applyNumberFormat="1" applyFont="1" applyFill="1" applyBorder="1">
      <alignment/>
      <protection/>
    </xf>
    <xf numFmtId="0" fontId="39" fillId="9" borderId="65" xfId="58" applyFont="1" applyFill="1" applyBorder="1">
      <alignment/>
      <protection/>
    </xf>
    <xf numFmtId="0" fontId="38" fillId="9" borderId="62" xfId="58" applyFont="1" applyFill="1" applyBorder="1">
      <alignment/>
      <protection/>
    </xf>
    <xf numFmtId="3" fontId="38" fillId="9" borderId="62" xfId="58" applyNumberFormat="1" applyFont="1" applyFill="1" applyBorder="1">
      <alignment/>
      <protection/>
    </xf>
    <xf numFmtId="169" fontId="39" fillId="9" borderId="62" xfId="58" applyNumberFormat="1" applyFont="1" applyFill="1" applyBorder="1">
      <alignment/>
      <protection/>
    </xf>
    <xf numFmtId="0" fontId="40" fillId="38" borderId="62" xfId="58" applyFont="1" applyFill="1" applyBorder="1">
      <alignment/>
      <protection/>
    </xf>
    <xf numFmtId="3" fontId="40" fillId="38" borderId="62" xfId="58" applyNumberFormat="1" applyFont="1" applyFill="1" applyBorder="1">
      <alignment/>
      <protection/>
    </xf>
    <xf numFmtId="0" fontId="39" fillId="0" borderId="66" xfId="58" applyFont="1" applyFill="1" applyBorder="1">
      <alignment/>
      <protection/>
    </xf>
    <xf numFmtId="0" fontId="39" fillId="0" borderId="0" xfId="58" applyFont="1" applyFill="1" applyBorder="1">
      <alignment/>
      <protection/>
    </xf>
    <xf numFmtId="169" fontId="38" fillId="0" borderId="59" xfId="58" applyNumberFormat="1" applyFont="1" applyFill="1" applyBorder="1">
      <alignment/>
      <protection/>
    </xf>
    <xf numFmtId="0" fontId="2" fillId="0" borderId="65" xfId="58" applyFill="1" applyBorder="1">
      <alignment/>
      <protection/>
    </xf>
    <xf numFmtId="0" fontId="38" fillId="0" borderId="67" xfId="58" applyFont="1" applyFill="1" applyBorder="1" applyAlignment="1">
      <alignment horizontal="center" wrapText="1"/>
      <protection/>
    </xf>
    <xf numFmtId="0" fontId="2" fillId="0" borderId="63" xfId="58" applyFill="1" applyBorder="1">
      <alignment/>
      <protection/>
    </xf>
    <xf numFmtId="0" fontId="37" fillId="0" borderId="62" xfId="58" applyFont="1" applyFill="1" applyBorder="1">
      <alignment/>
      <protection/>
    </xf>
    <xf numFmtId="3" fontId="38" fillId="0" borderId="62" xfId="58" applyNumberFormat="1" applyFont="1" applyFill="1" applyBorder="1" applyAlignment="1">
      <alignment horizontal="right"/>
      <protection/>
    </xf>
    <xf numFmtId="169" fontId="38" fillId="0" borderId="63" xfId="58" applyNumberFormat="1" applyFont="1" applyFill="1" applyBorder="1">
      <alignment/>
      <protection/>
    </xf>
    <xf numFmtId="49" fontId="39" fillId="0" borderId="68" xfId="58" applyNumberFormat="1" applyFont="1" applyFill="1" applyBorder="1">
      <alignment/>
      <protection/>
    </xf>
    <xf numFmtId="3" fontId="39" fillId="0" borderId="62" xfId="58" applyNumberFormat="1" applyFont="1" applyFill="1" applyBorder="1">
      <alignment/>
      <protection/>
    </xf>
    <xf numFmtId="0" fontId="41" fillId="0" borderId="62" xfId="58" applyFont="1" applyFill="1" applyBorder="1">
      <alignment/>
      <protection/>
    </xf>
    <xf numFmtId="0" fontId="39" fillId="0" borderId="62" xfId="58" applyFont="1" applyFill="1" applyBorder="1" applyAlignment="1">
      <alignment wrapText="1"/>
      <protection/>
    </xf>
    <xf numFmtId="3" fontId="41" fillId="0" borderId="62" xfId="58" applyNumberFormat="1" applyFont="1" applyFill="1" applyBorder="1">
      <alignment/>
      <protection/>
    </xf>
    <xf numFmtId="3" fontId="41" fillId="37" borderId="62" xfId="58" applyNumberFormat="1" applyFont="1" applyFill="1" applyBorder="1">
      <alignment/>
      <protection/>
    </xf>
    <xf numFmtId="0" fontId="41" fillId="0" borderId="62" xfId="58" applyFont="1" applyFill="1" applyBorder="1" applyAlignment="1">
      <alignment wrapText="1"/>
      <protection/>
    </xf>
    <xf numFmtId="49" fontId="39" fillId="37" borderId="68" xfId="58" applyNumberFormat="1" applyFont="1" applyFill="1" applyBorder="1">
      <alignment/>
      <protection/>
    </xf>
    <xf numFmtId="49" fontId="38" fillId="0" borderId="62" xfId="58" applyNumberFormat="1" applyFont="1" applyFill="1" applyBorder="1">
      <alignment/>
      <protection/>
    </xf>
    <xf numFmtId="49" fontId="37" fillId="0" borderId="62" xfId="58" applyNumberFormat="1" applyFont="1" applyFill="1" applyBorder="1">
      <alignment/>
      <protection/>
    </xf>
    <xf numFmtId="3" fontId="37" fillId="0" borderId="62" xfId="58" applyNumberFormat="1" applyFont="1" applyFill="1" applyBorder="1">
      <alignment/>
      <protection/>
    </xf>
    <xf numFmtId="3" fontId="38" fillId="0" borderId="62" xfId="58" applyNumberFormat="1" applyFont="1" applyFill="1" applyBorder="1">
      <alignment/>
      <protection/>
    </xf>
    <xf numFmtId="169" fontId="38" fillId="0" borderId="62" xfId="58" applyNumberFormat="1" applyFont="1" applyFill="1" applyBorder="1">
      <alignment/>
      <protection/>
    </xf>
    <xf numFmtId="49" fontId="39" fillId="0" borderId="62" xfId="58" applyNumberFormat="1" applyFont="1" applyFill="1" applyBorder="1">
      <alignment/>
      <protection/>
    </xf>
    <xf numFmtId="49" fontId="41" fillId="0" borderId="62" xfId="58" applyNumberFormat="1" applyFont="1" applyFill="1" applyBorder="1">
      <alignment/>
      <protection/>
    </xf>
    <xf numFmtId="3" fontId="41" fillId="0" borderId="62" xfId="58" applyNumberFormat="1" applyFont="1" applyFill="1" applyBorder="1">
      <alignment/>
      <protection/>
    </xf>
    <xf numFmtId="49" fontId="38" fillId="0" borderId="62" xfId="58" applyNumberFormat="1" applyFont="1" applyFill="1" applyBorder="1">
      <alignment/>
      <protection/>
    </xf>
    <xf numFmtId="49" fontId="39" fillId="0" borderId="62" xfId="58" applyNumberFormat="1" applyFont="1" applyFill="1" applyBorder="1" applyAlignment="1">
      <alignment wrapText="1"/>
      <protection/>
    </xf>
    <xf numFmtId="49" fontId="39" fillId="0" borderId="62" xfId="58" applyNumberFormat="1" applyFont="1" applyFill="1" applyBorder="1">
      <alignment/>
      <protection/>
    </xf>
    <xf numFmtId="1" fontId="38" fillId="0" borderId="62" xfId="58" applyNumberFormat="1" applyFont="1" applyFill="1" applyBorder="1">
      <alignment/>
      <protection/>
    </xf>
    <xf numFmtId="49" fontId="39" fillId="0" borderId="68" xfId="58" applyNumberFormat="1" applyFont="1" applyFill="1" applyBorder="1">
      <alignment/>
      <protection/>
    </xf>
    <xf numFmtId="3" fontId="40" fillId="0" borderId="62" xfId="58" applyNumberFormat="1" applyFont="1" applyFill="1" applyBorder="1">
      <alignment/>
      <protection/>
    </xf>
    <xf numFmtId="49" fontId="39" fillId="0" borderId="62" xfId="58" applyNumberFormat="1" applyFont="1" applyFill="1" applyBorder="1" applyAlignment="1">
      <alignment wrapText="1"/>
      <protection/>
    </xf>
    <xf numFmtId="0" fontId="38" fillId="0" borderId="62" xfId="58" applyFont="1" applyFill="1" applyBorder="1" applyAlignment="1">
      <alignment wrapText="1"/>
      <protection/>
    </xf>
    <xf numFmtId="0" fontId="37" fillId="0" borderId="62" xfId="58" applyFont="1" applyFill="1" applyBorder="1" applyAlignment="1">
      <alignment wrapText="1"/>
      <protection/>
    </xf>
    <xf numFmtId="3" fontId="37" fillId="0" borderId="62" xfId="58" applyNumberFormat="1" applyFont="1" applyFill="1" applyBorder="1" applyAlignment="1">
      <alignment wrapText="1"/>
      <protection/>
    </xf>
    <xf numFmtId="3" fontId="38" fillId="0" borderId="62" xfId="58" applyNumberFormat="1" applyFont="1" applyFill="1" applyBorder="1" applyAlignment="1">
      <alignment wrapText="1"/>
      <protection/>
    </xf>
    <xf numFmtId="3" fontId="39" fillId="0" borderId="62" xfId="58" applyNumberFormat="1" applyFont="1" applyFill="1" applyBorder="1" applyAlignment="1">
      <alignment wrapText="1"/>
      <protection/>
    </xf>
    <xf numFmtId="0" fontId="37" fillId="0" borderId="62" xfId="58" applyFont="1" applyFill="1" applyBorder="1" applyAlignment="1">
      <alignment wrapText="1"/>
      <protection/>
    </xf>
    <xf numFmtId="3" fontId="37" fillId="0" borderId="62" xfId="58" applyNumberFormat="1" applyFont="1" applyFill="1" applyBorder="1" applyAlignment="1">
      <alignment wrapText="1"/>
      <protection/>
    </xf>
    <xf numFmtId="49" fontId="37" fillId="0" borderId="62" xfId="58" applyNumberFormat="1" applyFont="1" applyFill="1" applyBorder="1">
      <alignment/>
      <protection/>
    </xf>
    <xf numFmtId="0" fontId="38" fillId="0" borderId="0" xfId="58" applyFont="1" applyFill="1">
      <alignment/>
      <protection/>
    </xf>
    <xf numFmtId="49" fontId="39" fillId="0" borderId="68" xfId="58" applyNumberFormat="1" applyFont="1" applyFill="1" applyBorder="1" quotePrefix="1">
      <alignment/>
      <protection/>
    </xf>
    <xf numFmtId="49" fontId="39" fillId="38" borderId="68" xfId="58" applyNumberFormat="1" applyFont="1" applyFill="1" applyBorder="1">
      <alignment/>
      <protection/>
    </xf>
    <xf numFmtId="49" fontId="39" fillId="38" borderId="62" xfId="58" applyNumberFormat="1" applyFont="1" applyFill="1" applyBorder="1" applyAlignment="1">
      <alignment wrapText="1"/>
      <protection/>
    </xf>
    <xf numFmtId="49" fontId="39" fillId="38" borderId="62" xfId="58" applyNumberFormat="1" applyFont="1" applyFill="1" applyBorder="1" applyAlignment="1">
      <alignment wrapText="1"/>
      <protection/>
    </xf>
    <xf numFmtId="49" fontId="39" fillId="37" borderId="68" xfId="58" applyNumberFormat="1" applyFont="1" applyFill="1" applyBorder="1">
      <alignment/>
      <protection/>
    </xf>
    <xf numFmtId="49" fontId="41" fillId="37" borderId="62" xfId="58" applyNumberFormat="1" applyFont="1" applyFill="1" applyBorder="1" applyAlignment="1">
      <alignment wrapText="1"/>
      <protection/>
    </xf>
    <xf numFmtId="49" fontId="39" fillId="37" borderId="62" xfId="58" applyNumberFormat="1" applyFont="1" applyFill="1" applyBorder="1" applyAlignment="1">
      <alignment wrapText="1"/>
      <protection/>
    </xf>
    <xf numFmtId="169" fontId="38" fillId="37" borderId="62" xfId="58" applyNumberFormat="1" applyFont="1" applyFill="1" applyBorder="1">
      <alignment/>
      <protection/>
    </xf>
    <xf numFmtId="49" fontId="39" fillId="37" borderId="62" xfId="58" applyNumberFormat="1" applyFont="1" applyFill="1" applyBorder="1" applyAlignment="1">
      <alignment wrapText="1"/>
      <protection/>
    </xf>
    <xf numFmtId="169" fontId="39" fillId="37" borderId="62" xfId="58" applyNumberFormat="1" applyFont="1" applyFill="1" applyBorder="1">
      <alignment/>
      <protection/>
    </xf>
    <xf numFmtId="49" fontId="41" fillId="0" borderId="62" xfId="58" applyNumberFormat="1" applyFont="1" applyFill="1" applyBorder="1" applyAlignment="1">
      <alignment wrapText="1"/>
      <protection/>
    </xf>
    <xf numFmtId="3" fontId="38" fillId="38" borderId="62" xfId="58" applyNumberFormat="1" applyFont="1" applyFill="1" applyBorder="1">
      <alignment/>
      <protection/>
    </xf>
    <xf numFmtId="0" fontId="39" fillId="38" borderId="62" xfId="58" applyFont="1" applyFill="1" applyBorder="1" applyAlignment="1">
      <alignment wrapText="1"/>
      <protection/>
    </xf>
    <xf numFmtId="0" fontId="63" fillId="0" borderId="62" xfId="58" applyFont="1" applyFill="1" applyBorder="1">
      <alignment/>
      <protection/>
    </xf>
    <xf numFmtId="3" fontId="63" fillId="0" borderId="62" xfId="58" applyNumberFormat="1" applyFont="1" applyFill="1" applyBorder="1">
      <alignment/>
      <protection/>
    </xf>
    <xf numFmtId="0" fontId="64" fillId="0" borderId="62" xfId="58" applyFont="1" applyFill="1" applyBorder="1">
      <alignment/>
      <protection/>
    </xf>
    <xf numFmtId="3" fontId="64" fillId="0" borderId="62" xfId="58" applyNumberFormat="1" applyFont="1" applyFill="1" applyBorder="1">
      <alignment/>
      <protection/>
    </xf>
    <xf numFmtId="0" fontId="63" fillId="0" borderId="62" xfId="58" applyFont="1" applyFill="1" applyBorder="1">
      <alignment/>
      <protection/>
    </xf>
    <xf numFmtId="0" fontId="63" fillId="38" borderId="62" xfId="58" applyFont="1" applyFill="1" applyBorder="1">
      <alignment/>
      <protection/>
    </xf>
    <xf numFmtId="3" fontId="63" fillId="38" borderId="62" xfId="58" applyNumberFormat="1" applyFont="1" applyFill="1" applyBorder="1">
      <alignment/>
      <protection/>
    </xf>
    <xf numFmtId="0" fontId="39" fillId="37" borderId="62" xfId="58" applyFont="1" applyFill="1" applyBorder="1">
      <alignment/>
      <protection/>
    </xf>
    <xf numFmtId="0" fontId="63" fillId="37" borderId="62" xfId="58" applyFont="1" applyFill="1" applyBorder="1">
      <alignment/>
      <protection/>
    </xf>
    <xf numFmtId="3" fontId="63" fillId="37" borderId="62" xfId="58" applyNumberFormat="1" applyFont="1" applyFill="1" applyBorder="1">
      <alignment/>
      <protection/>
    </xf>
    <xf numFmtId="0" fontId="39" fillId="37" borderId="62" xfId="58" applyFont="1" applyFill="1" applyBorder="1" applyAlignment="1">
      <alignment wrapText="1"/>
      <protection/>
    </xf>
    <xf numFmtId="169" fontId="39" fillId="6" borderId="62" xfId="58" applyNumberFormat="1" applyFont="1" applyFill="1" applyBorder="1">
      <alignment/>
      <protection/>
    </xf>
    <xf numFmtId="4" fontId="38" fillId="0" borderId="62" xfId="58" applyNumberFormat="1" applyFont="1" applyFill="1" applyBorder="1">
      <alignment/>
      <protection/>
    </xf>
    <xf numFmtId="4" fontId="39" fillId="0" borderId="62" xfId="58" applyNumberFormat="1" applyFont="1" applyFill="1" applyBorder="1">
      <alignment/>
      <protection/>
    </xf>
    <xf numFmtId="0" fontId="37" fillId="0" borderId="0" xfId="58" applyFont="1" applyFill="1">
      <alignment/>
      <protection/>
    </xf>
    <xf numFmtId="0" fontId="40" fillId="0" borderId="62" xfId="58" applyFont="1" applyFill="1" applyBorder="1" applyAlignment="1">
      <alignment wrapText="1"/>
      <protection/>
    </xf>
    <xf numFmtId="49" fontId="39" fillId="38" borderId="68" xfId="58" applyNumberFormat="1" applyFont="1" applyFill="1" applyBorder="1">
      <alignment/>
      <protection/>
    </xf>
    <xf numFmtId="0" fontId="40" fillId="38" borderId="62" xfId="58" applyFont="1" applyFill="1" applyBorder="1" applyAlignment="1">
      <alignment wrapText="1"/>
      <protection/>
    </xf>
    <xf numFmtId="4" fontId="39" fillId="38" borderId="62" xfId="58" applyNumberFormat="1" applyFont="1" applyFill="1" applyBorder="1">
      <alignment/>
      <protection/>
    </xf>
    <xf numFmtId="4" fontId="38" fillId="0" borderId="62" xfId="58" applyNumberFormat="1" applyFont="1" applyFill="1" applyBorder="1">
      <alignment/>
      <protection/>
    </xf>
    <xf numFmtId="0" fontId="38" fillId="37" borderId="62" xfId="58" applyFont="1" applyFill="1" applyBorder="1" applyAlignment="1">
      <alignment wrapText="1"/>
      <protection/>
    </xf>
    <xf numFmtId="0" fontId="37" fillId="37" borderId="62" xfId="58" applyFont="1" applyFill="1" applyBorder="1" applyAlignment="1">
      <alignment wrapText="1"/>
      <protection/>
    </xf>
    <xf numFmtId="3" fontId="37" fillId="37" borderId="62" xfId="58" applyNumberFormat="1" applyFont="1" applyFill="1" applyBorder="1" applyAlignment="1">
      <alignment wrapText="1"/>
      <protection/>
    </xf>
    <xf numFmtId="3" fontId="38" fillId="37" borderId="62" xfId="58" applyNumberFormat="1" applyFont="1" applyFill="1" applyBorder="1" applyAlignment="1">
      <alignment wrapText="1"/>
      <protection/>
    </xf>
    <xf numFmtId="0" fontId="39" fillId="0" borderId="68" xfId="58" applyFont="1" applyFill="1" applyBorder="1">
      <alignment/>
      <protection/>
    </xf>
    <xf numFmtId="0" fontId="37" fillId="37" borderId="62" xfId="58" applyFont="1" applyFill="1" applyBorder="1">
      <alignment/>
      <protection/>
    </xf>
    <xf numFmtId="3" fontId="38" fillId="37" borderId="62" xfId="58" applyNumberFormat="1" applyFont="1" applyFill="1" applyBorder="1">
      <alignment/>
      <protection/>
    </xf>
    <xf numFmtId="0" fontId="41" fillId="37" borderId="62" xfId="58" applyFont="1" applyFill="1" applyBorder="1" applyAlignment="1">
      <alignment wrapText="1"/>
      <protection/>
    </xf>
    <xf numFmtId="49" fontId="39" fillId="0" borderId="0" xfId="58" applyNumberFormat="1" applyFont="1" applyFill="1" applyBorder="1">
      <alignment/>
      <protection/>
    </xf>
    <xf numFmtId="49" fontId="39" fillId="0" borderId="67" xfId="58" applyNumberFormat="1" applyFont="1" applyFill="1" applyBorder="1">
      <alignment/>
      <protection/>
    </xf>
    <xf numFmtId="0" fontId="38" fillId="0" borderId="65" xfId="58" applyFont="1" applyFill="1" applyBorder="1" applyAlignment="1">
      <alignment wrapText="1"/>
      <protection/>
    </xf>
    <xf numFmtId="3" fontId="38" fillId="0" borderId="65" xfId="58" applyNumberFormat="1" applyFont="1" applyFill="1" applyBorder="1">
      <alignment/>
      <protection/>
    </xf>
    <xf numFmtId="49" fontId="39" fillId="6" borderId="67" xfId="58" applyNumberFormat="1" applyFont="1" applyFill="1" applyBorder="1">
      <alignment/>
      <protection/>
    </xf>
    <xf numFmtId="0" fontId="39" fillId="6" borderId="65" xfId="58" applyFont="1" applyFill="1" applyBorder="1" applyAlignment="1">
      <alignment wrapText="1"/>
      <protection/>
    </xf>
    <xf numFmtId="3" fontId="39" fillId="6" borderId="65" xfId="58" applyNumberFormat="1" applyFont="1" applyFill="1" applyBorder="1">
      <alignment/>
      <protection/>
    </xf>
    <xf numFmtId="49" fontId="39" fillId="0" borderId="65" xfId="58" applyNumberFormat="1" applyFont="1" applyFill="1" applyBorder="1">
      <alignment/>
      <protection/>
    </xf>
    <xf numFmtId="0" fontId="41" fillId="0" borderId="65" xfId="58" applyFont="1" applyFill="1" applyBorder="1" applyAlignment="1">
      <alignment wrapText="1"/>
      <protection/>
    </xf>
    <xf numFmtId="3" fontId="41" fillId="0" borderId="65" xfId="58" applyNumberFormat="1" applyFont="1" applyFill="1" applyBorder="1">
      <alignment/>
      <protection/>
    </xf>
    <xf numFmtId="3" fontId="40" fillId="0" borderId="65" xfId="58" applyNumberFormat="1" applyFont="1" applyFill="1" applyBorder="1">
      <alignment/>
      <protection/>
    </xf>
    <xf numFmtId="169" fontId="39" fillId="0" borderId="65" xfId="58" applyNumberFormat="1" applyFont="1" applyFill="1" applyBorder="1">
      <alignment/>
      <protection/>
    </xf>
    <xf numFmtId="49" fontId="39" fillId="0" borderId="0" xfId="58" applyNumberFormat="1" applyFont="1" applyFill="1" applyBorder="1" applyAlignment="1">
      <alignment wrapText="1"/>
      <protection/>
    </xf>
    <xf numFmtId="49" fontId="39" fillId="0" borderId="63" xfId="58" applyNumberFormat="1" applyFont="1" applyFill="1" applyBorder="1" applyAlignment="1">
      <alignment wrapText="1"/>
      <protection/>
    </xf>
    <xf numFmtId="0" fontId="39" fillId="0" borderId="63" xfId="58" applyFont="1" applyFill="1" applyBorder="1" applyAlignment="1">
      <alignment wrapText="1"/>
      <protection/>
    </xf>
    <xf numFmtId="0" fontId="39" fillId="0" borderId="63" xfId="58" applyFont="1" applyFill="1" applyBorder="1" applyAlignment="1">
      <alignment wrapText="1"/>
      <protection/>
    </xf>
    <xf numFmtId="3" fontId="39" fillId="0" borderId="63" xfId="58" applyNumberFormat="1" applyFont="1" applyFill="1" applyBorder="1">
      <alignment/>
      <protection/>
    </xf>
    <xf numFmtId="169" fontId="39" fillId="0" borderId="63" xfId="58" applyNumberFormat="1" applyFont="1" applyFill="1" applyBorder="1">
      <alignment/>
      <protection/>
    </xf>
    <xf numFmtId="49" fontId="39" fillId="0" borderId="0" xfId="58" applyNumberFormat="1" applyFont="1" applyFill="1" applyBorder="1" applyAlignment="1">
      <alignment wrapText="1"/>
      <protection/>
    </xf>
    <xf numFmtId="0" fontId="39" fillId="0" borderId="0" xfId="58" applyFont="1" applyFill="1" applyBorder="1" applyAlignment="1">
      <alignment wrapText="1"/>
      <protection/>
    </xf>
    <xf numFmtId="3" fontId="38" fillId="0" borderId="0" xfId="58" applyNumberFormat="1" applyFont="1" applyFill="1" applyBorder="1">
      <alignment/>
      <protection/>
    </xf>
    <xf numFmtId="169" fontId="38" fillId="0" borderId="64" xfId="58" applyNumberFormat="1" applyFont="1" applyFill="1" applyBorder="1">
      <alignment/>
      <protection/>
    </xf>
    <xf numFmtId="0" fontId="39" fillId="0" borderId="62" xfId="58" applyFont="1" applyFill="1" applyBorder="1" applyAlignment="1">
      <alignment wrapText="1"/>
      <protection/>
    </xf>
    <xf numFmtId="49" fontId="39" fillId="6" borderId="0" xfId="58" applyNumberFormat="1" applyFont="1" applyFill="1" applyBorder="1" applyAlignment="1">
      <alignment wrapText="1"/>
      <protection/>
    </xf>
    <xf numFmtId="0" fontId="39" fillId="6" borderId="62" xfId="58" applyFont="1" applyFill="1" applyBorder="1" applyAlignment="1">
      <alignment wrapText="1"/>
      <protection/>
    </xf>
    <xf numFmtId="0" fontId="39" fillId="6" borderId="62" xfId="58" applyFont="1" applyFill="1" applyBorder="1" applyAlignment="1">
      <alignment wrapText="1"/>
      <protection/>
    </xf>
    <xf numFmtId="3" fontId="39" fillId="6" borderId="62" xfId="58" applyNumberFormat="1" applyFont="1" applyFill="1" applyBorder="1">
      <alignment/>
      <protection/>
    </xf>
    <xf numFmtId="169" fontId="39" fillId="6" borderId="65" xfId="58" applyNumberFormat="1" applyFont="1" applyFill="1" applyBorder="1">
      <alignment/>
      <protection/>
    </xf>
    <xf numFmtId="0" fontId="39" fillId="0" borderId="0" xfId="58" applyFont="1" applyFill="1" applyBorder="1" applyAlignment="1">
      <alignment wrapText="1"/>
      <protection/>
    </xf>
    <xf numFmtId="169" fontId="38" fillId="0" borderId="0" xfId="58" applyNumberFormat="1" applyFont="1" applyFill="1" applyBorder="1">
      <alignment/>
      <protection/>
    </xf>
    <xf numFmtId="0" fontId="39" fillId="0" borderId="0" xfId="58" applyFont="1" applyFill="1">
      <alignment/>
      <protection/>
    </xf>
    <xf numFmtId="0" fontId="37" fillId="0" borderId="0" xfId="58" applyFont="1" applyFill="1" applyBorder="1" applyAlignment="1">
      <alignment horizontal="center" wrapText="1"/>
      <protection/>
    </xf>
    <xf numFmtId="0" fontId="39" fillId="0" borderId="59" xfId="58" applyFont="1" applyFill="1" applyBorder="1">
      <alignment/>
      <protection/>
    </xf>
    <xf numFmtId="0" fontId="39" fillId="0" borderId="65" xfId="58" applyFont="1" applyFill="1" applyBorder="1">
      <alignment/>
      <protection/>
    </xf>
    <xf numFmtId="0" fontId="37" fillId="0" borderId="62" xfId="58" applyFont="1" applyFill="1" applyBorder="1" applyAlignment="1">
      <alignment horizontal="center" wrapText="1"/>
      <protection/>
    </xf>
    <xf numFmtId="0" fontId="65" fillId="0" borderId="36" xfId="58" applyFont="1" applyFill="1" applyBorder="1" applyAlignment="1">
      <alignment horizontal="center" wrapText="1"/>
      <protection/>
    </xf>
    <xf numFmtId="0" fontId="65" fillId="0" borderId="63" xfId="58" applyFont="1" applyFill="1" applyBorder="1" applyAlignment="1">
      <alignment horizontal="center" wrapText="1"/>
      <protection/>
    </xf>
    <xf numFmtId="3" fontId="38" fillId="0" borderId="62" xfId="58" applyNumberFormat="1" applyFont="1" applyFill="1" applyBorder="1" applyAlignment="1">
      <alignment horizontal="right"/>
      <protection/>
    </xf>
    <xf numFmtId="0" fontId="66" fillId="0" borderId="0" xfId="58" applyFont="1" applyFill="1">
      <alignment/>
      <protection/>
    </xf>
    <xf numFmtId="0" fontId="65" fillId="0" borderId="36" xfId="58" applyFont="1" applyFill="1" applyBorder="1">
      <alignment/>
      <protection/>
    </xf>
    <xf numFmtId="0" fontId="65" fillId="0" borderId="36" xfId="58" applyFont="1" applyFill="1" applyBorder="1" quotePrefix="1">
      <alignment/>
      <protection/>
    </xf>
    <xf numFmtId="0" fontId="39" fillId="0" borderId="36" xfId="58" applyFont="1" applyFill="1" applyBorder="1">
      <alignment/>
      <protection/>
    </xf>
    <xf numFmtId="0" fontId="39" fillId="0" borderId="36" xfId="58" applyFont="1" applyFill="1" applyBorder="1" quotePrefix="1">
      <alignment/>
      <protection/>
    </xf>
    <xf numFmtId="0" fontId="39" fillId="0" borderId="62" xfId="58" applyFont="1" applyFill="1" applyBorder="1">
      <alignment/>
      <protection/>
    </xf>
    <xf numFmtId="0" fontId="37" fillId="0" borderId="0" xfId="58" applyFont="1" applyFill="1" applyBorder="1">
      <alignment/>
      <protection/>
    </xf>
    <xf numFmtId="49" fontId="39" fillId="0" borderId="62" xfId="58" applyNumberFormat="1" applyFont="1" applyFill="1" applyBorder="1">
      <alignment/>
      <protection/>
    </xf>
    <xf numFmtId="49" fontId="39" fillId="0" borderId="0" xfId="58" applyNumberFormat="1" applyFont="1" applyFill="1" applyBorder="1">
      <alignment/>
      <protection/>
    </xf>
    <xf numFmtId="0" fontId="38" fillId="0" borderId="0" xfId="58" applyFon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_Sheet1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A%20t&#228;itmine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u aa2012vorm"/>
      <sheetName val="kuu aa"/>
      <sheetName val="jan"/>
      <sheetName val="veb"/>
      <sheetName val="mar"/>
      <sheetName val="I kv"/>
      <sheetName val="apr"/>
      <sheetName val="mai"/>
      <sheetName val="jun"/>
      <sheetName val="jul"/>
      <sheetName val="aug"/>
      <sheetName val="sep"/>
      <sheetName val="okt"/>
      <sheetName val="nov"/>
      <sheetName val="dets"/>
      <sheetName val="KOKKU"/>
      <sheetName val="kulud"/>
    </sheetNames>
    <sheetDataSet>
      <sheetData sheetId="1">
        <row r="68">
          <cell r="D68">
            <v>12779245.54</v>
          </cell>
          <cell r="E68">
            <v>12517166.17</v>
          </cell>
        </row>
        <row r="82">
          <cell r="D82">
            <v>41101585.769999996</v>
          </cell>
          <cell r="E82">
            <v>40802251.57000001</v>
          </cell>
        </row>
        <row r="83">
          <cell r="D83">
            <v>30234230.069999997</v>
          </cell>
          <cell r="E83">
            <v>30056983.090000004</v>
          </cell>
        </row>
        <row r="91">
          <cell r="D91">
            <v>35227995.07</v>
          </cell>
          <cell r="E91">
            <v>33789317.56</v>
          </cell>
        </row>
        <row r="113">
          <cell r="D113">
            <v>459760</v>
          </cell>
          <cell r="E113">
            <v>343776.41000000003</v>
          </cell>
        </row>
        <row r="116">
          <cell r="D116">
            <v>759967</v>
          </cell>
          <cell r="E116">
            <v>286064.74</v>
          </cell>
        </row>
        <row r="117">
          <cell r="D117">
            <v>600000</v>
          </cell>
          <cell r="E117">
            <v>148119.22</v>
          </cell>
        </row>
        <row r="118">
          <cell r="D118">
            <v>159617</v>
          </cell>
          <cell r="E118">
            <v>137043.84</v>
          </cell>
        </row>
        <row r="122">
          <cell r="D122">
            <v>-35625281</v>
          </cell>
          <cell r="E122">
            <v>-21936322.279999997</v>
          </cell>
        </row>
        <row r="123">
          <cell r="D123">
            <v>-1559330</v>
          </cell>
          <cell r="E123">
            <v>-1331314</v>
          </cell>
        </row>
        <row r="124">
          <cell r="D124">
            <v>-33405203</v>
          </cell>
          <cell r="E124">
            <v>-19889600.18</v>
          </cell>
        </row>
        <row r="125">
          <cell r="D125">
            <v>-538426</v>
          </cell>
          <cell r="E125">
            <v>-653124.0599999999</v>
          </cell>
        </row>
        <row r="131">
          <cell r="D131">
            <v>24192618</v>
          </cell>
          <cell r="E131">
            <v>12588498.520000001</v>
          </cell>
        </row>
        <row r="145">
          <cell r="D145">
            <v>-2079440</v>
          </cell>
          <cell r="E145">
            <v>-2072137.74</v>
          </cell>
        </row>
        <row r="146">
          <cell r="D146">
            <v>0</v>
          </cell>
          <cell r="E146">
            <v>0</v>
          </cell>
        </row>
        <row r="147">
          <cell r="D147">
            <v>-156938</v>
          </cell>
          <cell r="E147">
            <v>0</v>
          </cell>
        </row>
        <row r="148">
          <cell r="D148">
            <v>0</v>
          </cell>
          <cell r="E148">
            <v>0</v>
          </cell>
        </row>
        <row r="149">
          <cell r="D149">
            <v>0</v>
          </cell>
          <cell r="E149">
            <v>0</v>
          </cell>
        </row>
        <row r="150">
          <cell r="D150">
            <v>0</v>
          </cell>
          <cell r="E150">
            <v>0</v>
          </cell>
        </row>
        <row r="151">
          <cell r="D151">
            <v>0</v>
          </cell>
          <cell r="E151">
            <v>0</v>
          </cell>
        </row>
        <row r="152">
          <cell r="D152">
            <v>225569</v>
          </cell>
          <cell r="E152">
            <v>228164.4</v>
          </cell>
        </row>
        <row r="157">
          <cell r="D157">
            <v>-1226224</v>
          </cell>
          <cell r="E157">
            <v>-1184378.07</v>
          </cell>
        </row>
        <row r="165">
          <cell r="D165">
            <v>7398846</v>
          </cell>
          <cell r="E165">
            <v>7398846</v>
          </cell>
        </row>
        <row r="166">
          <cell r="D166">
            <v>0</v>
          </cell>
          <cell r="E166">
            <v>0</v>
          </cell>
        </row>
        <row r="167">
          <cell r="D167">
            <v>0</v>
          </cell>
          <cell r="E167">
            <v>0</v>
          </cell>
        </row>
        <row r="169">
          <cell r="D169">
            <v>-5870000</v>
          </cell>
          <cell r="E169">
            <v>-5869996.1</v>
          </cell>
        </row>
        <row r="170">
          <cell r="D170">
            <v>0</v>
          </cell>
          <cell r="E170">
            <v>0</v>
          </cell>
        </row>
        <row r="171">
          <cell r="D171">
            <v>-251005</v>
          </cell>
          <cell r="E171">
            <v>-251001.02</v>
          </cell>
        </row>
        <row r="172">
          <cell r="D172">
            <v>-7069167.48</v>
          </cell>
          <cell r="E172">
            <v>-2160740.5899999933</v>
          </cell>
        </row>
        <row r="176">
          <cell r="D176">
            <v>8080056</v>
          </cell>
          <cell r="E176">
            <v>7736323.749999998</v>
          </cell>
        </row>
        <row r="184">
          <cell r="D184">
            <v>279921</v>
          </cell>
          <cell r="E184">
            <v>282564.52</v>
          </cell>
        </row>
        <row r="188">
          <cell r="D188">
            <v>31911025</v>
          </cell>
          <cell r="E188">
            <v>19124732.260000005</v>
          </cell>
        </row>
        <row r="205">
          <cell r="D205">
            <v>4897072</v>
          </cell>
          <cell r="E205">
            <v>4671087.75</v>
          </cell>
        </row>
        <row r="211">
          <cell r="D211">
            <v>1922702.62</v>
          </cell>
          <cell r="E211">
            <v>1826241.5</v>
          </cell>
        </row>
        <row r="218">
          <cell r="D218">
            <v>430183</v>
          </cell>
          <cell r="E218">
            <v>409143.75</v>
          </cell>
        </row>
        <row r="225">
          <cell r="D225">
            <v>9913397</v>
          </cell>
          <cell r="E225">
            <v>10155312.67</v>
          </cell>
        </row>
        <row r="249">
          <cell r="D249">
            <v>62529791.76</v>
          </cell>
          <cell r="E249">
            <v>60135533.050000004</v>
          </cell>
        </row>
        <row r="263">
          <cell r="D263">
            <v>8692321</v>
          </cell>
          <cell r="E263">
            <v>8304410.55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9"/>
  <sheetViews>
    <sheetView tabSelected="1" zoomScale="90" zoomScaleNormal="90" zoomScalePageLayoutView="0" workbookViewId="0" topLeftCell="A1">
      <selection activeCell="M66" sqref="M66"/>
    </sheetView>
  </sheetViews>
  <sheetFormatPr defaultColWidth="9.140625" defaultRowHeight="15"/>
  <cols>
    <col min="1" max="1" width="9.8515625" style="99" customWidth="1"/>
    <col min="2" max="2" width="4.8515625" style="5" customWidth="1"/>
    <col min="3" max="3" width="53.00390625" style="5" customWidth="1"/>
    <col min="4" max="4" width="11.140625" style="101" customWidth="1"/>
    <col min="5" max="5" width="11.28125" style="103" customWidth="1"/>
    <col min="6" max="6" width="6.8515625" style="5" customWidth="1"/>
    <col min="7" max="7" width="10.00390625" style="5" bestFit="1" customWidth="1"/>
    <col min="8" max="8" width="10.140625" style="5" customWidth="1"/>
    <col min="9" max="10" width="9.140625" style="5" customWidth="1"/>
    <col min="11" max="11" width="10.28125" style="5" bestFit="1" customWidth="1"/>
    <col min="12" max="12" width="11.140625" style="5" bestFit="1" customWidth="1"/>
    <col min="13" max="16384" width="9.140625" style="5" customWidth="1"/>
  </cols>
  <sheetData>
    <row r="1" spans="1:5" ht="21" customHeight="1" thickBot="1">
      <c r="A1" s="1" t="s">
        <v>0</v>
      </c>
      <c r="B1" s="2"/>
      <c r="C1" s="3"/>
      <c r="D1" s="4"/>
      <c r="E1" s="4"/>
    </row>
    <row r="2" spans="1:9" ht="22.5" customHeight="1">
      <c r="A2" s="163" t="s">
        <v>1</v>
      </c>
      <c r="B2" s="164"/>
      <c r="C2" s="164"/>
      <c r="D2" s="164"/>
      <c r="E2" s="164"/>
      <c r="F2" s="164"/>
      <c r="G2" s="125"/>
      <c r="H2" s="126"/>
      <c r="I2" s="127"/>
    </row>
    <row r="3" spans="1:9" ht="16.5" customHeight="1">
      <c r="A3" s="6"/>
      <c r="B3" s="7" t="s">
        <v>2</v>
      </c>
      <c r="C3" s="8">
        <v>41274</v>
      </c>
      <c r="D3" s="165" t="s">
        <v>3</v>
      </c>
      <c r="E3" s="167" t="s">
        <v>4</v>
      </c>
      <c r="F3" s="169" t="s">
        <v>5</v>
      </c>
      <c r="G3" s="128"/>
      <c r="H3" s="93"/>
      <c r="I3" s="129"/>
    </row>
    <row r="4" spans="1:9" ht="15" customHeight="1">
      <c r="A4" s="9" t="s">
        <v>6</v>
      </c>
      <c r="B4" s="10"/>
      <c r="C4" s="11" t="s">
        <v>7</v>
      </c>
      <c r="D4" s="166"/>
      <c r="E4" s="168"/>
      <c r="F4" s="170"/>
      <c r="G4" s="149">
        <v>2011</v>
      </c>
      <c r="H4" s="150" t="s">
        <v>8</v>
      </c>
      <c r="I4" s="151" t="s">
        <v>9</v>
      </c>
    </row>
    <row r="5" spans="1:11" ht="15" customHeight="1" thickBot="1">
      <c r="A5" s="12"/>
      <c r="B5" s="13" t="s">
        <v>10</v>
      </c>
      <c r="C5" s="14"/>
      <c r="D5" s="15">
        <f>D6+D12+D13+D17</f>
        <v>95131306.9</v>
      </c>
      <c r="E5" s="16">
        <f>E6+E12+E13+E17</f>
        <v>96104032.67</v>
      </c>
      <c r="F5" s="110">
        <f aca="true" t="shared" si="0" ref="F5:F18">E5/D5</f>
        <v>1.0102250857440915</v>
      </c>
      <c r="G5" s="130">
        <f>G6+G12+G13+G17</f>
        <v>91912438.81</v>
      </c>
      <c r="H5" s="131">
        <f aca="true" t="shared" si="1" ref="H5:H60">E5-G5</f>
        <v>4191593.8599999994</v>
      </c>
      <c r="I5" s="132">
        <f>H5/G5</f>
        <v>0.04560420672401914</v>
      </c>
      <c r="K5" s="17"/>
    </row>
    <row r="6" spans="1:11" ht="12.75">
      <c r="A6" s="18">
        <v>30</v>
      </c>
      <c r="B6" s="19" t="s">
        <v>11</v>
      </c>
      <c r="C6" s="20"/>
      <c r="D6" s="21">
        <f>SUM(D7:D11)</f>
        <v>50424100</v>
      </c>
      <c r="E6" s="22">
        <f>SUM(E7:E11)</f>
        <v>50863151.65</v>
      </c>
      <c r="F6" s="111">
        <f t="shared" si="0"/>
        <v>1.0087071787101802</v>
      </c>
      <c r="G6" s="133">
        <f>SUM(G7:G11)</f>
        <v>48627321.3</v>
      </c>
      <c r="H6" s="134">
        <f t="shared" si="1"/>
        <v>2235830.3500000015</v>
      </c>
      <c r="I6" s="135">
        <f aca="true" t="shared" si="2" ref="I6:I60">H6/G6</f>
        <v>0.045978891911531254</v>
      </c>
      <c r="K6" s="17"/>
    </row>
    <row r="7" spans="1:11" ht="12.75">
      <c r="A7" s="23">
        <v>3000</v>
      </c>
      <c r="B7" s="24"/>
      <c r="C7" s="25" t="s">
        <v>12</v>
      </c>
      <c r="D7" s="26">
        <v>48842000</v>
      </c>
      <c r="E7" s="26">
        <v>49234975</v>
      </c>
      <c r="F7" s="112">
        <f t="shared" si="0"/>
        <v>1.0080458416936244</v>
      </c>
      <c r="G7" s="136">
        <v>47002232</v>
      </c>
      <c r="H7" s="92">
        <f t="shared" si="1"/>
        <v>2232743</v>
      </c>
      <c r="I7" s="137">
        <f t="shared" si="2"/>
        <v>0.04750291432968545</v>
      </c>
      <c r="K7" s="17"/>
    </row>
    <row r="8" spans="1:11" ht="12.75">
      <c r="A8" s="23">
        <v>3030</v>
      </c>
      <c r="B8" s="24"/>
      <c r="C8" s="25" t="s">
        <v>13</v>
      </c>
      <c r="D8" s="26">
        <v>850000</v>
      </c>
      <c r="E8" s="26">
        <v>848625</v>
      </c>
      <c r="F8" s="112">
        <f t="shared" si="0"/>
        <v>0.9983823529411765</v>
      </c>
      <c r="G8" s="136">
        <v>899722</v>
      </c>
      <c r="H8" s="92">
        <f t="shared" si="1"/>
        <v>-51097</v>
      </c>
      <c r="I8" s="138">
        <f t="shared" si="2"/>
        <v>-0.056791986858162856</v>
      </c>
      <c r="K8" s="17"/>
    </row>
    <row r="9" spans="1:11" ht="12.75">
      <c r="A9" s="23">
        <v>3044</v>
      </c>
      <c r="B9" s="24"/>
      <c r="C9" s="25" t="s">
        <v>14</v>
      </c>
      <c r="D9" s="26">
        <v>284600</v>
      </c>
      <c r="E9" s="26">
        <v>294082.18</v>
      </c>
      <c r="F9" s="112">
        <f t="shared" si="0"/>
        <v>1.0333175685172171</v>
      </c>
      <c r="G9" s="136">
        <v>292489.11</v>
      </c>
      <c r="H9" s="92">
        <f t="shared" si="1"/>
        <v>1593.070000000007</v>
      </c>
      <c r="I9" s="138">
        <f t="shared" si="2"/>
        <v>0.005446595943349846</v>
      </c>
      <c r="K9" s="17"/>
    </row>
    <row r="10" spans="1:11" ht="12.75">
      <c r="A10" s="23">
        <v>3045</v>
      </c>
      <c r="B10" s="24"/>
      <c r="C10" s="25" t="s">
        <v>15</v>
      </c>
      <c r="D10" s="26">
        <v>97500</v>
      </c>
      <c r="E10" s="26">
        <v>111554.35</v>
      </c>
      <c r="F10" s="112">
        <f t="shared" si="0"/>
        <v>1.1441471794871796</v>
      </c>
      <c r="G10" s="136">
        <v>110795.22</v>
      </c>
      <c r="H10" s="92">
        <f t="shared" si="1"/>
        <v>759.1300000000047</v>
      </c>
      <c r="I10" s="138">
        <f t="shared" si="2"/>
        <v>0.0068516493762095934</v>
      </c>
      <c r="K10" s="17"/>
    </row>
    <row r="11" spans="1:11" ht="12.75">
      <c r="A11" s="23">
        <v>3047</v>
      </c>
      <c r="B11" s="24"/>
      <c r="C11" s="27" t="s">
        <v>16</v>
      </c>
      <c r="D11" s="26">
        <v>350000</v>
      </c>
      <c r="E11" s="26">
        <v>373915.12</v>
      </c>
      <c r="F11" s="112">
        <f t="shared" si="0"/>
        <v>1.0683289142857142</v>
      </c>
      <c r="G11" s="136">
        <v>322082.97</v>
      </c>
      <c r="H11" s="92">
        <f t="shared" si="1"/>
        <v>51832.15000000002</v>
      </c>
      <c r="I11" s="138">
        <f t="shared" si="2"/>
        <v>0.1609279435047436</v>
      </c>
      <c r="K11" s="17"/>
    </row>
    <row r="12" spans="1:11" ht="12.75">
      <c r="A12" s="28">
        <v>32</v>
      </c>
      <c r="B12" s="29" t="s">
        <v>17</v>
      </c>
      <c r="C12" s="30"/>
      <c r="D12" s="31">
        <v>13210530</v>
      </c>
      <c r="E12" s="31">
        <v>13488171.38</v>
      </c>
      <c r="F12" s="113">
        <f t="shared" si="0"/>
        <v>1.0210166723061074</v>
      </c>
      <c r="G12" s="133">
        <v>12304598.509999996</v>
      </c>
      <c r="H12" s="134">
        <f t="shared" si="1"/>
        <v>1183572.8700000048</v>
      </c>
      <c r="I12" s="135">
        <f t="shared" si="2"/>
        <v>0.09618947493801691</v>
      </c>
      <c r="K12" s="17"/>
    </row>
    <row r="13" spans="1:18" s="33" customFormat="1" ht="12.75">
      <c r="A13" s="28" t="s">
        <v>18</v>
      </c>
      <c r="B13" s="29" t="s">
        <v>19</v>
      </c>
      <c r="C13" s="30"/>
      <c r="D13" s="31">
        <f>D14+D15+D16</f>
        <v>31028526.9</v>
      </c>
      <c r="E13" s="32">
        <f>E14+E15+E16</f>
        <v>31146338.5</v>
      </c>
      <c r="F13" s="113">
        <f t="shared" si="0"/>
        <v>1.0037968802186352</v>
      </c>
      <c r="G13" s="133">
        <f>SUM(G14:G16)</f>
        <v>30429789</v>
      </c>
      <c r="H13" s="134">
        <f t="shared" si="1"/>
        <v>716549.5</v>
      </c>
      <c r="I13" s="135">
        <f t="shared" si="2"/>
        <v>0.023547632880398874</v>
      </c>
      <c r="J13" s="5"/>
      <c r="K13" s="17"/>
      <c r="L13" s="5"/>
      <c r="M13" s="5"/>
      <c r="N13" s="5"/>
      <c r="O13" s="5"/>
      <c r="P13" s="5"/>
      <c r="Q13" s="5"/>
      <c r="R13" s="5"/>
    </row>
    <row r="14" spans="1:18" s="33" customFormat="1" ht="12.75">
      <c r="A14" s="23" t="s">
        <v>20</v>
      </c>
      <c r="B14" s="24"/>
      <c r="C14" s="25" t="s">
        <v>21</v>
      </c>
      <c r="D14" s="26">
        <v>3498428</v>
      </c>
      <c r="E14" s="26">
        <v>3498428</v>
      </c>
      <c r="F14" s="112">
        <f t="shared" si="0"/>
        <v>1</v>
      </c>
      <c r="G14" s="139">
        <v>2780782</v>
      </c>
      <c r="H14" s="92">
        <f t="shared" si="1"/>
        <v>717646</v>
      </c>
      <c r="I14" s="138">
        <f t="shared" si="2"/>
        <v>0.25807344840408203</v>
      </c>
      <c r="J14" s="5"/>
      <c r="K14" s="17"/>
      <c r="L14" s="5"/>
      <c r="M14" s="5"/>
      <c r="N14" s="5"/>
      <c r="O14" s="5"/>
      <c r="P14" s="5"/>
      <c r="Q14" s="5"/>
      <c r="R14" s="5"/>
    </row>
    <row r="15" spans="1:18" s="33" customFormat="1" ht="12.75">
      <c r="A15" s="23" t="s">
        <v>22</v>
      </c>
      <c r="B15" s="24"/>
      <c r="C15" s="27" t="s">
        <v>23</v>
      </c>
      <c r="D15" s="26">
        <v>18545097</v>
      </c>
      <c r="E15" s="26">
        <v>18545097</v>
      </c>
      <c r="F15" s="112">
        <f t="shared" si="0"/>
        <v>1</v>
      </c>
      <c r="G15" s="139">
        <v>18532448</v>
      </c>
      <c r="H15" s="92">
        <f t="shared" si="1"/>
        <v>12649</v>
      </c>
      <c r="I15" s="138">
        <f t="shared" si="2"/>
        <v>0.0006825326044352047</v>
      </c>
      <c r="J15" s="5"/>
      <c r="K15" s="17"/>
      <c r="L15" s="5"/>
      <c r="M15" s="5"/>
      <c r="N15" s="5"/>
      <c r="O15" s="5"/>
      <c r="P15" s="5"/>
      <c r="Q15" s="5"/>
      <c r="R15" s="5"/>
    </row>
    <row r="16" spans="1:18" s="33" customFormat="1" ht="12.75">
      <c r="A16" s="23" t="s">
        <v>24</v>
      </c>
      <c r="B16" s="24"/>
      <c r="C16" s="27" t="s">
        <v>25</v>
      </c>
      <c r="D16" s="26">
        <v>8985001.9</v>
      </c>
      <c r="E16" s="26">
        <v>9102813.5</v>
      </c>
      <c r="F16" s="112">
        <f t="shared" si="0"/>
        <v>1.0131120283903334</v>
      </c>
      <c r="G16" s="139">
        <v>9116559</v>
      </c>
      <c r="H16" s="92">
        <f t="shared" si="1"/>
        <v>-13745.5</v>
      </c>
      <c r="I16" s="138">
        <f t="shared" si="2"/>
        <v>-0.0015077508959246576</v>
      </c>
      <c r="J16" s="5"/>
      <c r="K16" s="17"/>
      <c r="L16" s="5"/>
      <c r="M16" s="5"/>
      <c r="N16" s="5"/>
      <c r="O16" s="5"/>
      <c r="P16" s="5"/>
      <c r="Q16" s="5"/>
      <c r="R16" s="5"/>
    </row>
    <row r="17" spans="1:18" s="33" customFormat="1" ht="12.75">
      <c r="A17" s="28" t="s">
        <v>26</v>
      </c>
      <c r="B17" s="29" t="s">
        <v>27</v>
      </c>
      <c r="C17" s="30"/>
      <c r="D17" s="31">
        <f>SUM(D18:D21)</f>
        <v>468150</v>
      </c>
      <c r="E17" s="32">
        <f>SUM(E18:E21)</f>
        <v>606371.14</v>
      </c>
      <c r="F17" s="113">
        <f t="shared" si="0"/>
        <v>1.2952496849300439</v>
      </c>
      <c r="G17" s="133">
        <f>SUM(G18:G21)</f>
        <v>550730</v>
      </c>
      <c r="H17" s="134">
        <f t="shared" si="1"/>
        <v>55641.140000000014</v>
      </c>
      <c r="I17" s="135">
        <f t="shared" si="2"/>
        <v>0.1010316125869301</v>
      </c>
      <c r="J17" s="5"/>
      <c r="K17" s="17"/>
      <c r="L17" s="5"/>
      <c r="M17" s="5"/>
      <c r="N17" s="5"/>
      <c r="O17" s="5"/>
      <c r="P17" s="5"/>
      <c r="Q17" s="5"/>
      <c r="R17" s="5"/>
    </row>
    <row r="18" spans="1:18" s="33" customFormat="1" ht="12.75">
      <c r="A18" s="23" t="s">
        <v>28</v>
      </c>
      <c r="B18" s="24"/>
      <c r="C18" s="25" t="s">
        <v>29</v>
      </c>
      <c r="D18" s="26">
        <v>0</v>
      </c>
      <c r="E18" s="26">
        <v>0</v>
      </c>
      <c r="F18" s="112" t="e">
        <f t="shared" si="0"/>
        <v>#DIV/0!</v>
      </c>
      <c r="G18" s="139">
        <v>0</v>
      </c>
      <c r="H18" s="92">
        <f t="shared" si="1"/>
        <v>0</v>
      </c>
      <c r="I18" s="138" t="e">
        <f t="shared" si="2"/>
        <v>#DIV/0!</v>
      </c>
      <c r="J18" s="5"/>
      <c r="K18" s="17"/>
      <c r="L18" s="5"/>
      <c r="M18" s="5"/>
      <c r="N18" s="5"/>
      <c r="O18" s="5"/>
      <c r="P18" s="5"/>
      <c r="Q18" s="5"/>
      <c r="R18" s="5"/>
    </row>
    <row r="19" spans="1:18" s="33" customFormat="1" ht="12.75">
      <c r="A19" s="23">
        <v>382540</v>
      </c>
      <c r="B19" s="24"/>
      <c r="C19" s="25" t="s">
        <v>30</v>
      </c>
      <c r="D19" s="26">
        <v>121000</v>
      </c>
      <c r="E19" s="26">
        <v>148134</v>
      </c>
      <c r="F19" s="112">
        <f aca="true" t="shared" si="3" ref="F19:F28">E19/D19</f>
        <v>1.2242479338842975</v>
      </c>
      <c r="G19" s="139">
        <v>136505</v>
      </c>
      <c r="H19" s="92">
        <f t="shared" si="1"/>
        <v>11629</v>
      </c>
      <c r="I19" s="138">
        <f t="shared" si="2"/>
        <v>0.08519101864400572</v>
      </c>
      <c r="J19" s="5"/>
      <c r="K19" s="17"/>
      <c r="L19" s="5"/>
      <c r="M19" s="5"/>
      <c r="N19" s="5"/>
      <c r="O19" s="5"/>
      <c r="P19" s="5"/>
      <c r="Q19" s="5"/>
      <c r="R19" s="5"/>
    </row>
    <row r="20" spans="1:18" s="33" customFormat="1" ht="12.75">
      <c r="A20" s="23">
        <v>3882</v>
      </c>
      <c r="B20" s="24"/>
      <c r="C20" s="25" t="s">
        <v>31</v>
      </c>
      <c r="D20" s="26">
        <v>180000</v>
      </c>
      <c r="E20" s="26">
        <v>178724</v>
      </c>
      <c r="F20" s="112">
        <f t="shared" si="3"/>
        <v>0.9929111111111111</v>
      </c>
      <c r="G20" s="139">
        <v>175890</v>
      </c>
      <c r="H20" s="92">
        <f t="shared" si="1"/>
        <v>2834</v>
      </c>
      <c r="I20" s="138">
        <f t="shared" si="2"/>
        <v>0.016112342941611235</v>
      </c>
      <c r="J20" s="5"/>
      <c r="K20" s="17"/>
      <c r="L20" s="5"/>
      <c r="M20" s="5"/>
      <c r="N20" s="5"/>
      <c r="O20" s="5"/>
      <c r="P20" s="5"/>
      <c r="Q20" s="5"/>
      <c r="R20" s="5"/>
    </row>
    <row r="21" spans="1:18" s="33" customFormat="1" ht="13.5" thickBot="1">
      <c r="A21" s="23" t="s">
        <v>32</v>
      </c>
      <c r="B21" s="24"/>
      <c r="C21" s="25" t="s">
        <v>33</v>
      </c>
      <c r="D21" s="26">
        <v>167150</v>
      </c>
      <c r="E21" s="26">
        <v>279513.14</v>
      </c>
      <c r="F21" s="112">
        <f t="shared" si="3"/>
        <v>1.6722293748130423</v>
      </c>
      <c r="G21" s="139">
        <f>175766+62569</f>
        <v>238335</v>
      </c>
      <c r="H21" s="92">
        <f t="shared" si="1"/>
        <v>41178.140000000014</v>
      </c>
      <c r="I21" s="138">
        <f t="shared" si="2"/>
        <v>0.17277420437619323</v>
      </c>
      <c r="J21" s="5"/>
      <c r="K21" s="17"/>
      <c r="L21" s="5"/>
      <c r="M21" s="5"/>
      <c r="N21" s="5"/>
      <c r="O21" s="5"/>
      <c r="P21" s="5"/>
      <c r="Q21" s="5"/>
      <c r="R21" s="5"/>
    </row>
    <row r="22" spans="1:18" s="33" customFormat="1" ht="13.5" thickBot="1">
      <c r="A22" s="12"/>
      <c r="B22" s="13" t="s">
        <v>34</v>
      </c>
      <c r="C22" s="14"/>
      <c r="D22" s="34">
        <f>D23+D24</f>
        <v>-89568586.38</v>
      </c>
      <c r="E22" s="35">
        <f>E23+E24</f>
        <v>-87452511.71000001</v>
      </c>
      <c r="F22" s="114">
        <f t="shared" si="3"/>
        <v>0.9763748122469812</v>
      </c>
      <c r="G22" s="140">
        <f>G23+G24</f>
        <v>-83311211.15</v>
      </c>
      <c r="H22" s="131">
        <f t="shared" si="1"/>
        <v>-4141300.5600000024</v>
      </c>
      <c r="I22" s="141">
        <f t="shared" si="2"/>
        <v>0.049708802726966504</v>
      </c>
      <c r="J22" s="5"/>
      <c r="K22" s="17"/>
      <c r="L22" s="5"/>
      <c r="M22" s="5"/>
      <c r="N22" s="5"/>
      <c r="O22" s="5"/>
      <c r="P22" s="5"/>
      <c r="Q22" s="5"/>
      <c r="R22" s="5"/>
    </row>
    <row r="23" spans="1:18" s="33" customFormat="1" ht="13.5" thickBot="1">
      <c r="A23" s="36" t="s">
        <v>35</v>
      </c>
      <c r="B23" s="37" t="s">
        <v>36</v>
      </c>
      <c r="C23" s="38"/>
      <c r="D23" s="39">
        <f>-'[1]kuu aa'!D68</f>
        <v>-12779245.54</v>
      </c>
      <c r="E23" s="39">
        <f>-'[1]kuu aa'!E68</f>
        <v>-12517166.17</v>
      </c>
      <c r="F23" s="115">
        <f t="shared" si="3"/>
        <v>0.9794917963521657</v>
      </c>
      <c r="G23" s="142">
        <f>-13745580.73-G41</f>
        <v>-11745132.620000001</v>
      </c>
      <c r="H23" s="134">
        <f t="shared" si="1"/>
        <v>-772033.5499999989</v>
      </c>
      <c r="I23" s="135">
        <f t="shared" si="2"/>
        <v>0.06573221222596964</v>
      </c>
      <c r="J23" s="5"/>
      <c r="K23" s="17"/>
      <c r="L23" s="5"/>
      <c r="M23" s="5"/>
      <c r="N23" s="5"/>
      <c r="O23" s="5"/>
      <c r="P23" s="5"/>
      <c r="Q23" s="5"/>
      <c r="R23" s="5"/>
    </row>
    <row r="24" spans="1:11" ht="12.75">
      <c r="A24" s="28"/>
      <c r="B24" s="29" t="s">
        <v>37</v>
      </c>
      <c r="C24" s="30"/>
      <c r="D24" s="31">
        <f>D25+D27+D28</f>
        <v>-76789340.84</v>
      </c>
      <c r="E24" s="32">
        <f>E25+E27+E28</f>
        <v>-74935345.54</v>
      </c>
      <c r="F24" s="115">
        <f t="shared" si="3"/>
        <v>0.9758560852363217</v>
      </c>
      <c r="G24" s="142">
        <f>G25+G27+G28</f>
        <v>-71566078.53</v>
      </c>
      <c r="H24" s="134">
        <f t="shared" si="1"/>
        <v>-3369267.0100000054</v>
      </c>
      <c r="I24" s="135">
        <f t="shared" si="2"/>
        <v>0.04707910617999884</v>
      </c>
      <c r="K24" s="17"/>
    </row>
    <row r="25" spans="1:11" ht="12.75">
      <c r="A25" s="23">
        <v>50</v>
      </c>
      <c r="B25" s="24"/>
      <c r="C25" s="25" t="s">
        <v>38</v>
      </c>
      <c r="D25" s="26">
        <f>-'[1]kuu aa'!D82</f>
        <v>-41101585.769999996</v>
      </c>
      <c r="E25" s="26">
        <f>-'[1]kuu aa'!E82</f>
        <v>-40802251.57000001</v>
      </c>
      <c r="F25" s="112">
        <f t="shared" si="3"/>
        <v>0.992717210433801</v>
      </c>
      <c r="G25" s="139">
        <v>-39838954.53</v>
      </c>
      <c r="H25" s="92">
        <f t="shared" si="1"/>
        <v>-963297.0400000066</v>
      </c>
      <c r="I25" s="138">
        <f t="shared" si="2"/>
        <v>0.02417977708914558</v>
      </c>
      <c r="K25" s="17"/>
    </row>
    <row r="26" spans="1:11" ht="12.75">
      <c r="A26" s="40">
        <v>500</v>
      </c>
      <c r="B26" s="41"/>
      <c r="C26" s="42" t="s">
        <v>39</v>
      </c>
      <c r="D26" s="43">
        <f>-'[1]kuu aa'!D83</f>
        <v>-30234230.069999997</v>
      </c>
      <c r="E26" s="43">
        <f>-'[1]kuu aa'!E83</f>
        <v>-30056983.090000004</v>
      </c>
      <c r="F26" s="116">
        <f t="shared" si="3"/>
        <v>0.9941375394845636</v>
      </c>
      <c r="G26" s="139">
        <v>-29268130.54</v>
      </c>
      <c r="H26" s="92">
        <f t="shared" si="1"/>
        <v>-788852.5500000045</v>
      </c>
      <c r="I26" s="138">
        <f t="shared" si="2"/>
        <v>0.026952611439323055</v>
      </c>
      <c r="K26" s="17"/>
    </row>
    <row r="27" spans="1:11" ht="12.75">
      <c r="A27" s="23">
        <v>55</v>
      </c>
      <c r="B27" s="24"/>
      <c r="C27" s="25" t="s">
        <v>40</v>
      </c>
      <c r="D27" s="26">
        <f>-'[1]kuu aa'!D91</f>
        <v>-35227995.07</v>
      </c>
      <c r="E27" s="26">
        <f>-'[1]kuu aa'!E91</f>
        <v>-33789317.56</v>
      </c>
      <c r="F27" s="112">
        <f t="shared" si="3"/>
        <v>0.9591609597099902</v>
      </c>
      <c r="G27" s="139">
        <v>-31395450.07</v>
      </c>
      <c r="H27" s="92">
        <f t="shared" si="1"/>
        <v>-2393867.490000002</v>
      </c>
      <c r="I27" s="138">
        <f t="shared" si="2"/>
        <v>0.07624886678364481</v>
      </c>
      <c r="K27" s="17"/>
    </row>
    <row r="28" spans="1:18" s="33" customFormat="1" ht="13.5" thickBot="1">
      <c r="A28" s="44">
        <v>60</v>
      </c>
      <c r="B28" s="45"/>
      <c r="C28" s="46" t="s">
        <v>41</v>
      </c>
      <c r="D28" s="26">
        <f>-'[1]kuu aa'!D113</f>
        <v>-459760</v>
      </c>
      <c r="E28" s="26">
        <f>-'[1]kuu aa'!E113</f>
        <v>-343776.41000000003</v>
      </c>
      <c r="F28" s="112">
        <f t="shared" si="3"/>
        <v>0.7477301418131199</v>
      </c>
      <c r="G28" s="139">
        <v>-331673.93</v>
      </c>
      <c r="H28" s="92">
        <f t="shared" si="1"/>
        <v>-12102.48000000004</v>
      </c>
      <c r="I28" s="138">
        <f t="shared" si="2"/>
        <v>0.03648909035449376</v>
      </c>
      <c r="J28" s="5"/>
      <c r="K28" s="17"/>
      <c r="L28" s="5"/>
      <c r="M28" s="5"/>
      <c r="N28" s="5"/>
      <c r="O28" s="5"/>
      <c r="P28" s="5"/>
      <c r="Q28" s="5"/>
      <c r="R28" s="5"/>
    </row>
    <row r="29" spans="1:18" s="33" customFormat="1" ht="13.5" thickBot="1">
      <c r="A29" s="47"/>
      <c r="B29" s="48" t="s">
        <v>42</v>
      </c>
      <c r="C29" s="49"/>
      <c r="D29" s="50">
        <f>D5+D22</f>
        <v>5562720.520000011</v>
      </c>
      <c r="E29" s="50">
        <f>E5+E22</f>
        <v>8651520.959999993</v>
      </c>
      <c r="F29" s="117"/>
      <c r="G29" s="143">
        <f>G5+G22</f>
        <v>8601227.659999996</v>
      </c>
      <c r="H29" s="144">
        <f t="shared" si="1"/>
        <v>50293.29999999702</v>
      </c>
      <c r="I29" s="145">
        <f t="shared" si="2"/>
        <v>0.005847223441589155</v>
      </c>
      <c r="J29" s="5"/>
      <c r="K29" s="17"/>
      <c r="L29" s="5"/>
      <c r="M29" s="5"/>
      <c r="N29" s="5"/>
      <c r="O29" s="5"/>
      <c r="P29" s="5"/>
      <c r="Q29" s="5"/>
      <c r="R29" s="5"/>
    </row>
    <row r="30" spans="1:18" s="33" customFormat="1" ht="13.5" thickBot="1">
      <c r="A30" s="51"/>
      <c r="B30" s="52" t="s">
        <v>43</v>
      </c>
      <c r="C30" s="53"/>
      <c r="D30" s="54">
        <f>D33+D36+D40+D41+D42+D43+D44+D45+D46+D47+D48+D49</f>
        <v>-13909729</v>
      </c>
      <c r="E30" s="55">
        <f>E33+E36+E40+E41+E42+E43+E44+E45+E46+E47+E48+E49</f>
        <v>-12090110.429999998</v>
      </c>
      <c r="F30" s="118">
        <f aca="true" t="shared" si="4" ref="F30:F39">E30/D30</f>
        <v>0.8691837511715719</v>
      </c>
      <c r="G30" s="140">
        <f>G31+G32</f>
        <v>-5017327.43</v>
      </c>
      <c r="H30" s="131">
        <f t="shared" si="1"/>
        <v>-7072782.999999998</v>
      </c>
      <c r="I30" s="132">
        <f t="shared" si="2"/>
        <v>1.4096714034866165</v>
      </c>
      <c r="J30" s="5"/>
      <c r="K30" s="17"/>
      <c r="L30" s="5"/>
      <c r="M30" s="5"/>
      <c r="N30" s="5"/>
      <c r="O30" s="5"/>
      <c r="P30" s="5"/>
      <c r="Q30" s="5"/>
      <c r="R30" s="5"/>
    </row>
    <row r="31" spans="1:18" s="33" customFormat="1" ht="19.5" customHeight="1">
      <c r="A31" s="40"/>
      <c r="B31" s="56" t="s">
        <v>44</v>
      </c>
      <c r="C31" s="42"/>
      <c r="D31" s="43">
        <f>D33+D40+D42+D44+D46+D48</f>
        <v>25178154</v>
      </c>
      <c r="E31" s="43">
        <f>E33+E40+E42+E44+E46+E48</f>
        <v>13102727.660000002</v>
      </c>
      <c r="F31" s="116">
        <f t="shared" si="4"/>
        <v>0.5204006481174117</v>
      </c>
      <c r="G31" s="139">
        <f>G33+G40+G42+G44+G46+G48</f>
        <v>6721113.93</v>
      </c>
      <c r="H31" s="92">
        <f t="shared" si="1"/>
        <v>6381613.730000002</v>
      </c>
      <c r="I31" s="138">
        <f t="shared" si="2"/>
        <v>0.949487510026482</v>
      </c>
      <c r="J31" s="5"/>
      <c r="K31" s="17"/>
      <c r="L31" s="5"/>
      <c r="M31" s="5"/>
      <c r="N31" s="5"/>
      <c r="O31" s="5"/>
      <c r="P31" s="5"/>
      <c r="Q31" s="5"/>
      <c r="R31" s="5"/>
    </row>
    <row r="32" spans="1:18" s="33" customFormat="1" ht="12.75">
      <c r="A32" s="40"/>
      <c r="B32" s="56" t="s">
        <v>45</v>
      </c>
      <c r="C32" s="42"/>
      <c r="D32" s="43">
        <f>D36+D41+D43+D45+D47+D49</f>
        <v>-39087883</v>
      </c>
      <c r="E32" s="43">
        <f>E36+E41+E43+E45+E47+E49</f>
        <v>-25192838.089999996</v>
      </c>
      <c r="F32" s="116">
        <f t="shared" si="4"/>
        <v>0.6445178443150783</v>
      </c>
      <c r="G32" s="139">
        <f>G36+G41+G43+G45+G47+G49</f>
        <v>-11738441.36</v>
      </c>
      <c r="H32" s="92">
        <f t="shared" si="1"/>
        <v>-13454396.729999997</v>
      </c>
      <c r="I32" s="138">
        <f t="shared" si="2"/>
        <v>1.146182556727446</v>
      </c>
      <c r="J32" s="5"/>
      <c r="K32" s="17"/>
      <c r="L32" s="5"/>
      <c r="M32" s="5"/>
      <c r="N32" s="5"/>
      <c r="O32" s="5"/>
      <c r="P32" s="5"/>
      <c r="Q32" s="5"/>
      <c r="R32" s="5"/>
    </row>
    <row r="33" spans="1:18" s="33" customFormat="1" ht="12.75">
      <c r="A33" s="23">
        <v>381</v>
      </c>
      <c r="B33" s="24"/>
      <c r="C33" s="25" t="s">
        <v>46</v>
      </c>
      <c r="D33" s="26">
        <f>'[1]kuu aa'!D116</f>
        <v>759967</v>
      </c>
      <c r="E33" s="26">
        <f>'[1]kuu aa'!E116</f>
        <v>286064.74</v>
      </c>
      <c r="F33" s="112">
        <f t="shared" si="4"/>
        <v>0.37641731812039203</v>
      </c>
      <c r="G33" s="139">
        <v>754261.01</v>
      </c>
      <c r="H33" s="92">
        <f t="shared" si="1"/>
        <v>-468196.27</v>
      </c>
      <c r="I33" s="138">
        <f t="shared" si="2"/>
        <v>-0.6207350821435142</v>
      </c>
      <c r="J33" s="5"/>
      <c r="K33" s="17"/>
      <c r="L33" s="5"/>
      <c r="M33" s="5"/>
      <c r="N33" s="5"/>
      <c r="O33" s="5"/>
      <c r="P33" s="5"/>
      <c r="Q33" s="5"/>
      <c r="R33" s="5"/>
    </row>
    <row r="34" spans="1:18" s="33" customFormat="1" ht="12.75">
      <c r="A34" s="40">
        <v>3810</v>
      </c>
      <c r="B34" s="41"/>
      <c r="C34" s="42" t="s">
        <v>47</v>
      </c>
      <c r="D34" s="43">
        <f>'[1]kuu aa'!D117</f>
        <v>600000</v>
      </c>
      <c r="E34" s="43">
        <f>'[1]kuu aa'!E117</f>
        <v>148119.22</v>
      </c>
      <c r="F34" s="116">
        <f t="shared" si="4"/>
        <v>0.24686536666666667</v>
      </c>
      <c r="G34" s="139">
        <v>552742.25</v>
      </c>
      <c r="H34" s="92">
        <f t="shared" si="1"/>
        <v>-404623.03</v>
      </c>
      <c r="I34" s="138">
        <f t="shared" si="2"/>
        <v>-0.7320284092630879</v>
      </c>
      <c r="J34" s="5"/>
      <c r="K34" s="17"/>
      <c r="L34" s="5"/>
      <c r="M34" s="5"/>
      <c r="N34" s="5"/>
      <c r="O34" s="5"/>
      <c r="P34" s="5"/>
      <c r="Q34" s="5"/>
      <c r="R34" s="5"/>
    </row>
    <row r="35" spans="1:18" s="33" customFormat="1" ht="12.75">
      <c r="A35" s="40">
        <v>3811</v>
      </c>
      <c r="B35" s="41"/>
      <c r="C35" s="42" t="s">
        <v>48</v>
      </c>
      <c r="D35" s="43">
        <f>'[1]kuu aa'!D118</f>
        <v>159617</v>
      </c>
      <c r="E35" s="43">
        <f>'[1]kuu aa'!E118</f>
        <v>137043.84</v>
      </c>
      <c r="F35" s="116">
        <f t="shared" si="4"/>
        <v>0.8585792240174919</v>
      </c>
      <c r="G35" s="139">
        <v>198316.34</v>
      </c>
      <c r="H35" s="92">
        <f t="shared" si="1"/>
        <v>-61272.5</v>
      </c>
      <c r="I35" s="138">
        <f t="shared" si="2"/>
        <v>-0.3089634469857602</v>
      </c>
      <c r="J35" s="5"/>
      <c r="K35" s="17"/>
      <c r="L35" s="5"/>
      <c r="M35" s="5"/>
      <c r="N35" s="5"/>
      <c r="O35" s="5"/>
      <c r="P35" s="5"/>
      <c r="Q35" s="5"/>
      <c r="R35" s="5"/>
    </row>
    <row r="36" spans="1:18" s="33" customFormat="1" ht="12.75">
      <c r="A36" s="23">
        <v>15</v>
      </c>
      <c r="B36" s="24"/>
      <c r="C36" s="25" t="s">
        <v>49</v>
      </c>
      <c r="D36" s="26">
        <f>'[1]kuu aa'!D122</f>
        <v>-35625281</v>
      </c>
      <c r="E36" s="26">
        <f>'[1]kuu aa'!E122</f>
        <v>-21936322.279999997</v>
      </c>
      <c r="F36" s="112">
        <f t="shared" si="4"/>
        <v>0.615751558001746</v>
      </c>
      <c r="G36" s="139">
        <v>-8561691.39</v>
      </c>
      <c r="H36" s="92">
        <f t="shared" si="1"/>
        <v>-13374630.889999997</v>
      </c>
      <c r="I36" s="138">
        <f t="shared" si="2"/>
        <v>1.5621482112309582</v>
      </c>
      <c r="J36" s="5"/>
      <c r="K36" s="17"/>
      <c r="L36" s="5"/>
      <c r="M36" s="5"/>
      <c r="N36" s="5"/>
      <c r="O36" s="5"/>
      <c r="P36" s="5"/>
      <c r="Q36" s="5"/>
      <c r="R36" s="5"/>
    </row>
    <row r="37" spans="1:18" s="33" customFormat="1" ht="12.75">
      <c r="A37" s="40">
        <v>1550</v>
      </c>
      <c r="B37" s="41"/>
      <c r="C37" s="42" t="s">
        <v>50</v>
      </c>
      <c r="D37" s="43">
        <f>'[1]kuu aa'!D123</f>
        <v>-1559330</v>
      </c>
      <c r="E37" s="43">
        <f>'[1]kuu aa'!E123</f>
        <v>-1331314</v>
      </c>
      <c r="F37" s="116">
        <f t="shared" si="4"/>
        <v>0.8537730948548415</v>
      </c>
      <c r="G37" s="139">
        <v>-196930</v>
      </c>
      <c r="H37" s="92">
        <f t="shared" si="1"/>
        <v>-1134384</v>
      </c>
      <c r="I37" s="138">
        <f t="shared" si="2"/>
        <v>5.760341238003352</v>
      </c>
      <c r="J37" s="5"/>
      <c r="K37" s="17"/>
      <c r="L37" s="5"/>
      <c r="M37" s="5"/>
      <c r="N37" s="5"/>
      <c r="O37" s="5"/>
      <c r="P37" s="5"/>
      <c r="Q37" s="5"/>
      <c r="R37" s="5"/>
    </row>
    <row r="38" spans="1:18" s="33" customFormat="1" ht="12.75">
      <c r="A38" s="40">
        <v>1551</v>
      </c>
      <c r="B38" s="41"/>
      <c r="C38" s="42" t="s">
        <v>51</v>
      </c>
      <c r="D38" s="43">
        <f>'[1]kuu aa'!D124</f>
        <v>-33405203</v>
      </c>
      <c r="E38" s="43">
        <f>'[1]kuu aa'!E124</f>
        <v>-19889600.18</v>
      </c>
      <c r="F38" s="116">
        <f t="shared" si="4"/>
        <v>0.5954042602285637</v>
      </c>
      <c r="G38" s="139">
        <v>-7343013.03</v>
      </c>
      <c r="H38" s="92">
        <f t="shared" si="1"/>
        <v>-12546587.149999999</v>
      </c>
      <c r="I38" s="138">
        <f t="shared" si="2"/>
        <v>1.7086429097620706</v>
      </c>
      <c r="J38" s="5"/>
      <c r="K38" s="17"/>
      <c r="L38" s="5"/>
      <c r="M38" s="5"/>
      <c r="N38" s="5"/>
      <c r="O38" s="5"/>
      <c r="P38" s="5"/>
      <c r="Q38" s="5"/>
      <c r="R38" s="5"/>
    </row>
    <row r="39" spans="1:18" s="33" customFormat="1" ht="12.75">
      <c r="A39" s="40">
        <v>1554</v>
      </c>
      <c r="B39" s="41"/>
      <c r="C39" s="42" t="s">
        <v>52</v>
      </c>
      <c r="D39" s="43">
        <f>'[1]kuu aa'!D125</f>
        <v>-538426</v>
      </c>
      <c r="E39" s="43">
        <f>'[1]kuu aa'!E125</f>
        <v>-653124.0599999999</v>
      </c>
      <c r="F39" s="116">
        <f t="shared" si="4"/>
        <v>1.213024742490147</v>
      </c>
      <c r="G39" s="139">
        <v>-856727</v>
      </c>
      <c r="H39" s="92">
        <f t="shared" si="1"/>
        <v>203602.94000000006</v>
      </c>
      <c r="I39" s="138">
        <f t="shared" si="2"/>
        <v>-0.23765206419314444</v>
      </c>
      <c r="J39" s="5"/>
      <c r="K39" s="17"/>
      <c r="L39" s="5"/>
      <c r="M39" s="5"/>
      <c r="N39" s="5"/>
      <c r="O39" s="5"/>
      <c r="P39" s="5"/>
      <c r="Q39" s="5"/>
      <c r="R39" s="5"/>
    </row>
    <row r="40" spans="1:18" s="33" customFormat="1" ht="12.75">
      <c r="A40" s="23">
        <v>3502</v>
      </c>
      <c r="B40" s="24"/>
      <c r="C40" s="25" t="s">
        <v>53</v>
      </c>
      <c r="D40" s="26">
        <f>'[1]kuu aa'!D131</f>
        <v>24192618</v>
      </c>
      <c r="E40" s="26">
        <f>'[1]kuu aa'!E131</f>
        <v>12588498.520000001</v>
      </c>
      <c r="F40" s="112">
        <f>E40/D40</f>
        <v>0.5203446158658811</v>
      </c>
      <c r="G40" s="139">
        <v>5861360.42</v>
      </c>
      <c r="H40" s="92">
        <f t="shared" si="1"/>
        <v>6727138.1000000015</v>
      </c>
      <c r="I40" s="138">
        <f t="shared" si="2"/>
        <v>1.147709340146669</v>
      </c>
      <c r="J40" s="5"/>
      <c r="K40" s="17"/>
      <c r="L40" s="5"/>
      <c r="M40" s="5"/>
      <c r="N40" s="5"/>
      <c r="O40" s="5"/>
      <c r="P40" s="5"/>
      <c r="Q40" s="5"/>
      <c r="R40" s="5"/>
    </row>
    <row r="41" spans="1:18" s="33" customFormat="1" ht="12.75">
      <c r="A41" s="23">
        <v>4502</v>
      </c>
      <c r="B41" s="24"/>
      <c r="C41" s="25" t="s">
        <v>54</v>
      </c>
      <c r="D41" s="26">
        <f>'[1]kuu aa'!D145</f>
        <v>-2079440</v>
      </c>
      <c r="E41" s="26">
        <f>'[1]kuu aa'!E145</f>
        <v>-2072137.74</v>
      </c>
      <c r="F41" s="112">
        <f aca="true" t="shared" si="5" ref="F41:F49">E41/D41</f>
        <v>0.9964883526334013</v>
      </c>
      <c r="G41" s="139">
        <v>-2000448.11</v>
      </c>
      <c r="H41" s="92">
        <f t="shared" si="1"/>
        <v>-71689.62999999989</v>
      </c>
      <c r="I41" s="138">
        <f t="shared" si="2"/>
        <v>0.0358367855890048</v>
      </c>
      <c r="J41" s="5"/>
      <c r="K41" s="17"/>
      <c r="L41" s="5"/>
      <c r="M41" s="5"/>
      <c r="N41" s="5"/>
      <c r="O41" s="5"/>
      <c r="P41" s="5"/>
      <c r="Q41" s="5"/>
      <c r="R41" s="5"/>
    </row>
    <row r="42" spans="1:18" s="33" customFormat="1" ht="12.75">
      <c r="A42" s="57" t="s">
        <v>55</v>
      </c>
      <c r="B42" s="58"/>
      <c r="C42" s="25" t="s">
        <v>56</v>
      </c>
      <c r="D42" s="26">
        <f>'[1]kuu aa'!D146</f>
        <v>0</v>
      </c>
      <c r="E42" s="26">
        <f>'[1]kuu aa'!E146</f>
        <v>0</v>
      </c>
      <c r="F42" s="112" t="e">
        <f t="shared" si="5"/>
        <v>#DIV/0!</v>
      </c>
      <c r="G42" s="139">
        <v>18010.41</v>
      </c>
      <c r="H42" s="92">
        <f t="shared" si="1"/>
        <v>-18010.41</v>
      </c>
      <c r="I42" s="138">
        <f t="shared" si="2"/>
        <v>-1</v>
      </c>
      <c r="J42" s="5"/>
      <c r="K42" s="17"/>
      <c r="L42" s="5"/>
      <c r="M42" s="5"/>
      <c r="N42" s="5"/>
      <c r="O42" s="5"/>
      <c r="P42" s="5"/>
      <c r="Q42" s="5"/>
      <c r="R42" s="5"/>
    </row>
    <row r="43" spans="1:18" s="33" customFormat="1" ht="12.75">
      <c r="A43" s="57" t="s">
        <v>57</v>
      </c>
      <c r="B43" s="58"/>
      <c r="C43" s="25" t="s">
        <v>58</v>
      </c>
      <c r="D43" s="26">
        <f>'[1]kuu aa'!D147</f>
        <v>-156938</v>
      </c>
      <c r="E43" s="26">
        <f>'[1]kuu aa'!E147</f>
        <v>0</v>
      </c>
      <c r="F43" s="112">
        <f t="shared" si="5"/>
        <v>0</v>
      </c>
      <c r="G43" s="139"/>
      <c r="H43" s="92">
        <f t="shared" si="1"/>
        <v>0</v>
      </c>
      <c r="I43" s="138" t="e">
        <f>H43/G43</f>
        <v>#DIV/0!</v>
      </c>
      <c r="J43" s="5"/>
      <c r="K43" s="17"/>
      <c r="L43" s="5"/>
      <c r="M43" s="5"/>
      <c r="N43" s="5"/>
      <c r="O43" s="5"/>
      <c r="P43" s="5"/>
      <c r="Q43" s="5"/>
      <c r="R43" s="5"/>
    </row>
    <row r="44" spans="1:18" s="33" customFormat="1" ht="12.75">
      <c r="A44" s="57" t="s">
        <v>59</v>
      </c>
      <c r="B44" s="24"/>
      <c r="C44" s="59" t="s">
        <v>60</v>
      </c>
      <c r="D44" s="26">
        <f>'[1]kuu aa'!D148</f>
        <v>0</v>
      </c>
      <c r="E44" s="26">
        <f>'[1]kuu aa'!E148</f>
        <v>0</v>
      </c>
      <c r="F44" s="112" t="e">
        <f t="shared" si="5"/>
        <v>#DIV/0!</v>
      </c>
      <c r="G44" s="139"/>
      <c r="H44" s="92">
        <f t="shared" si="1"/>
        <v>0</v>
      </c>
      <c r="I44" s="138" t="e">
        <f t="shared" si="2"/>
        <v>#DIV/0!</v>
      </c>
      <c r="J44" s="5"/>
      <c r="K44" s="17"/>
      <c r="L44" s="5"/>
      <c r="M44" s="5"/>
      <c r="N44" s="5"/>
      <c r="O44" s="5"/>
      <c r="P44" s="5"/>
      <c r="Q44" s="5"/>
      <c r="R44" s="5"/>
    </row>
    <row r="45" spans="1:18" s="33" customFormat="1" ht="12.75">
      <c r="A45" s="57" t="s">
        <v>61</v>
      </c>
      <c r="B45" s="24"/>
      <c r="C45" s="59" t="s">
        <v>62</v>
      </c>
      <c r="D45" s="26">
        <f>'[1]kuu aa'!D149</f>
        <v>0</v>
      </c>
      <c r="E45" s="26">
        <f>'[1]kuu aa'!E149</f>
        <v>0</v>
      </c>
      <c r="F45" s="112" t="e">
        <f t="shared" si="5"/>
        <v>#DIV/0!</v>
      </c>
      <c r="G45" s="139">
        <v>-651.9</v>
      </c>
      <c r="H45" s="92">
        <f t="shared" si="1"/>
        <v>651.9</v>
      </c>
      <c r="I45" s="138">
        <f>H45/G45</f>
        <v>-1</v>
      </c>
      <c r="J45" s="5"/>
      <c r="K45" s="17"/>
      <c r="L45" s="5"/>
      <c r="M45" s="5"/>
      <c r="N45" s="5"/>
      <c r="O45" s="5"/>
      <c r="P45" s="5"/>
      <c r="Q45" s="5"/>
      <c r="R45" s="5"/>
    </row>
    <row r="46" spans="1:18" s="33" customFormat="1" ht="12.75">
      <c r="A46" s="23" t="s">
        <v>63</v>
      </c>
      <c r="B46" s="24"/>
      <c r="C46" s="59" t="s">
        <v>64</v>
      </c>
      <c r="D46" s="26">
        <f>'[1]kuu aa'!D150</f>
        <v>0</v>
      </c>
      <c r="E46" s="26">
        <f>'[1]kuu aa'!E150</f>
        <v>0</v>
      </c>
      <c r="F46" s="112" t="e">
        <f t="shared" si="5"/>
        <v>#DIV/0!</v>
      </c>
      <c r="G46" s="139"/>
      <c r="H46" s="92">
        <f t="shared" si="1"/>
        <v>0</v>
      </c>
      <c r="I46" s="138" t="e">
        <f t="shared" si="2"/>
        <v>#DIV/0!</v>
      </c>
      <c r="J46" s="5"/>
      <c r="K46" s="17"/>
      <c r="L46" s="5"/>
      <c r="M46" s="5"/>
      <c r="N46" s="5"/>
      <c r="O46" s="5"/>
      <c r="P46" s="5"/>
      <c r="Q46" s="5"/>
      <c r="R46" s="5"/>
    </row>
    <row r="47" spans="1:18" s="33" customFormat="1" ht="12.75">
      <c r="A47" s="23" t="s">
        <v>65</v>
      </c>
      <c r="B47" s="24"/>
      <c r="C47" s="25" t="s">
        <v>66</v>
      </c>
      <c r="D47" s="26">
        <f>'[1]kuu aa'!D151</f>
        <v>0</v>
      </c>
      <c r="E47" s="26">
        <f>'[1]kuu aa'!E151</f>
        <v>0</v>
      </c>
      <c r="F47" s="112" t="e">
        <f t="shared" si="5"/>
        <v>#DIV/0!</v>
      </c>
      <c r="G47" s="139"/>
      <c r="H47" s="92">
        <f t="shared" si="1"/>
        <v>0</v>
      </c>
      <c r="I47" s="138" t="e">
        <f t="shared" si="2"/>
        <v>#DIV/0!</v>
      </c>
      <c r="J47" s="5"/>
      <c r="K47" s="17"/>
      <c r="L47" s="5"/>
      <c r="M47" s="5"/>
      <c r="N47" s="5"/>
      <c r="O47" s="5"/>
      <c r="P47" s="5"/>
      <c r="Q47" s="5"/>
      <c r="R47" s="5"/>
    </row>
    <row r="48" spans="1:18" s="33" customFormat="1" ht="12.75">
      <c r="A48" s="60">
        <v>382</v>
      </c>
      <c r="B48" s="58"/>
      <c r="C48" s="25" t="s">
        <v>67</v>
      </c>
      <c r="D48" s="26">
        <f>'[1]kuu aa'!D152</f>
        <v>225569</v>
      </c>
      <c r="E48" s="26">
        <f>'[1]kuu aa'!E152</f>
        <v>228164.4</v>
      </c>
      <c r="F48" s="112">
        <f t="shared" si="5"/>
        <v>1.011506013680958</v>
      </c>
      <c r="G48" s="139">
        <v>87482.09</v>
      </c>
      <c r="H48" s="92">
        <f t="shared" si="1"/>
        <v>140682.31</v>
      </c>
      <c r="I48" s="138">
        <f t="shared" si="2"/>
        <v>1.6081269891928738</v>
      </c>
      <c r="J48" s="5"/>
      <c r="K48" s="17"/>
      <c r="L48" s="5"/>
      <c r="M48" s="5"/>
      <c r="N48" s="5"/>
      <c r="O48" s="5"/>
      <c r="P48" s="5"/>
      <c r="Q48" s="5"/>
      <c r="R48" s="5"/>
    </row>
    <row r="49" spans="1:18" s="33" customFormat="1" ht="13.5" thickBot="1">
      <c r="A49" s="44">
        <v>65</v>
      </c>
      <c r="B49" s="45"/>
      <c r="C49" s="46" t="s">
        <v>68</v>
      </c>
      <c r="D49" s="26">
        <f>'[1]kuu aa'!D157</f>
        <v>-1226224</v>
      </c>
      <c r="E49" s="26">
        <f>'[1]kuu aa'!E157</f>
        <v>-1184378.07</v>
      </c>
      <c r="F49" s="112">
        <f t="shared" si="5"/>
        <v>0.9658741551298947</v>
      </c>
      <c r="G49" s="139">
        <v>-1175649.96</v>
      </c>
      <c r="H49" s="92">
        <f t="shared" si="1"/>
        <v>-8728.110000000102</v>
      </c>
      <c r="I49" s="138">
        <f t="shared" si="2"/>
        <v>0.007424072042668298</v>
      </c>
      <c r="J49" s="5"/>
      <c r="K49" s="17"/>
      <c r="L49" s="5"/>
      <c r="M49" s="5"/>
      <c r="N49" s="5"/>
      <c r="O49" s="5"/>
      <c r="P49" s="5"/>
      <c r="Q49" s="5"/>
      <c r="R49" s="5"/>
    </row>
    <row r="50" spans="1:18" s="33" customFormat="1" ht="13.5" thickBot="1">
      <c r="A50" s="61"/>
      <c r="B50" s="62" t="s">
        <v>69</v>
      </c>
      <c r="C50" s="63"/>
      <c r="D50" s="50">
        <f>D29+D30</f>
        <v>-8347008.479999989</v>
      </c>
      <c r="E50" s="64">
        <f>E29+E30</f>
        <v>-3438589.4700000044</v>
      </c>
      <c r="F50" s="117"/>
      <c r="G50" s="143">
        <f>G29+G30</f>
        <v>3583900.2299999967</v>
      </c>
      <c r="H50" s="144">
        <f t="shared" si="1"/>
        <v>-7022489.700000001</v>
      </c>
      <c r="I50" s="145">
        <f t="shared" si="2"/>
        <v>-1.9594545744371927</v>
      </c>
      <c r="J50" s="5"/>
      <c r="K50" s="5"/>
      <c r="L50" s="5"/>
      <c r="M50" s="5"/>
      <c r="N50" s="5"/>
      <c r="O50" s="5"/>
      <c r="P50" s="5"/>
      <c r="Q50" s="5"/>
      <c r="R50" s="5"/>
    </row>
    <row r="51" spans="1:18" s="33" customFormat="1" ht="13.5" thickBot="1">
      <c r="A51" s="65"/>
      <c r="B51" s="52" t="s">
        <v>70</v>
      </c>
      <c r="C51" s="53"/>
      <c r="D51" s="54">
        <f>D52+D56</f>
        <v>1277841</v>
      </c>
      <c r="E51" s="55">
        <f>E52+E56</f>
        <v>1277848.8800000008</v>
      </c>
      <c r="F51" s="118">
        <f aca="true" t="shared" si="6" ref="F51:F60">E51/D51</f>
        <v>1.0000061666514073</v>
      </c>
      <c r="G51" s="140">
        <f>G52+G56</f>
        <v>-233150.26999999955</v>
      </c>
      <c r="H51" s="131">
        <f t="shared" si="1"/>
        <v>1510999.1500000004</v>
      </c>
      <c r="I51" s="132">
        <f t="shared" si="2"/>
        <v>-6.480795197020374</v>
      </c>
      <c r="J51" s="5"/>
      <c r="K51" s="5"/>
      <c r="L51" s="5"/>
      <c r="M51" s="5"/>
      <c r="N51" s="5"/>
      <c r="O51" s="5"/>
      <c r="P51" s="5"/>
      <c r="Q51" s="5"/>
      <c r="R51" s="5"/>
    </row>
    <row r="52" spans="1:18" s="33" customFormat="1" ht="12.75">
      <c r="A52" s="66" t="s">
        <v>71</v>
      </c>
      <c r="B52" s="67"/>
      <c r="C52" s="68" t="s">
        <v>72</v>
      </c>
      <c r="D52" s="69">
        <f>SUM(D53:D55)</f>
        <v>7398846</v>
      </c>
      <c r="E52" s="70">
        <f>SUM(E53:E55)</f>
        <v>7398846</v>
      </c>
      <c r="F52" s="119">
        <f t="shared" si="6"/>
        <v>1</v>
      </c>
      <c r="G52" s="139">
        <v>11320800</v>
      </c>
      <c r="H52" s="92">
        <f t="shared" si="1"/>
        <v>-3921954</v>
      </c>
      <c r="I52" s="138">
        <f t="shared" si="2"/>
        <v>-0.346437884248463</v>
      </c>
      <c r="J52" s="5"/>
      <c r="K52" s="5"/>
      <c r="L52" s="5"/>
      <c r="M52" s="5"/>
      <c r="N52" s="5"/>
      <c r="O52" s="5"/>
      <c r="P52" s="5"/>
      <c r="Q52" s="5"/>
      <c r="R52" s="5"/>
    </row>
    <row r="53" spans="1:18" s="33" customFormat="1" ht="12.75">
      <c r="A53" s="71" t="s">
        <v>73</v>
      </c>
      <c r="B53" s="72"/>
      <c r="C53" s="73" t="s">
        <v>74</v>
      </c>
      <c r="D53" s="43">
        <f>'[1]kuu aa'!D165</f>
        <v>7398846</v>
      </c>
      <c r="E53" s="43">
        <f>'[1]kuu aa'!E165</f>
        <v>7398846</v>
      </c>
      <c r="F53" s="116">
        <f t="shared" si="6"/>
        <v>1</v>
      </c>
      <c r="G53" s="139">
        <v>11320800</v>
      </c>
      <c r="H53" s="92">
        <f t="shared" si="1"/>
        <v>-3921954</v>
      </c>
      <c r="I53" s="138">
        <f t="shared" si="2"/>
        <v>-0.346437884248463</v>
      </c>
      <c r="J53" s="5"/>
      <c r="K53" s="5"/>
      <c r="L53" s="5"/>
      <c r="M53" s="5"/>
      <c r="N53" s="5"/>
      <c r="O53" s="5"/>
      <c r="P53" s="5"/>
      <c r="Q53" s="5"/>
      <c r="R53" s="5"/>
    </row>
    <row r="54" spans="1:18" s="33" customFormat="1" ht="12.75">
      <c r="A54" s="71" t="s">
        <v>75</v>
      </c>
      <c r="B54" s="72"/>
      <c r="C54" s="73" t="s">
        <v>76</v>
      </c>
      <c r="D54" s="43">
        <f>'[1]kuu aa'!D166</f>
        <v>0</v>
      </c>
      <c r="E54" s="43">
        <f>'[1]kuu aa'!E166</f>
        <v>0</v>
      </c>
      <c r="F54" s="116" t="e">
        <f t="shared" si="6"/>
        <v>#DIV/0!</v>
      </c>
      <c r="G54" s="139"/>
      <c r="H54" s="92">
        <f t="shared" si="1"/>
        <v>0</v>
      </c>
      <c r="I54" s="138" t="e">
        <f t="shared" si="2"/>
        <v>#DIV/0!</v>
      </c>
      <c r="J54" s="5"/>
      <c r="K54" s="5"/>
      <c r="L54" s="5"/>
      <c r="M54" s="5"/>
      <c r="N54" s="5"/>
      <c r="O54" s="5"/>
      <c r="P54" s="5"/>
      <c r="Q54" s="5"/>
      <c r="R54" s="5"/>
    </row>
    <row r="55" spans="1:18" s="33" customFormat="1" ht="12.75">
      <c r="A55" s="71" t="s">
        <v>77</v>
      </c>
      <c r="B55" s="72"/>
      <c r="C55" s="73" t="s">
        <v>78</v>
      </c>
      <c r="D55" s="43">
        <f>'[1]kuu aa'!D167</f>
        <v>0</v>
      </c>
      <c r="E55" s="43">
        <f>'[1]kuu aa'!E167</f>
        <v>0</v>
      </c>
      <c r="F55" s="116" t="e">
        <f t="shared" si="6"/>
        <v>#DIV/0!</v>
      </c>
      <c r="G55" s="139"/>
      <c r="H55" s="92">
        <f t="shared" si="1"/>
        <v>0</v>
      </c>
      <c r="I55" s="138" t="e">
        <f t="shared" si="2"/>
        <v>#DIV/0!</v>
      </c>
      <c r="J55" s="5"/>
      <c r="K55" s="5"/>
      <c r="L55" s="5"/>
      <c r="M55" s="5"/>
      <c r="N55" s="5"/>
      <c r="O55" s="5"/>
      <c r="P55" s="5"/>
      <c r="Q55" s="5"/>
      <c r="R55" s="5"/>
    </row>
    <row r="56" spans="1:18" s="33" customFormat="1" ht="12.75">
      <c r="A56" s="74" t="s">
        <v>79</v>
      </c>
      <c r="B56" s="75"/>
      <c r="C56" s="68" t="s">
        <v>80</v>
      </c>
      <c r="D56" s="69">
        <f>SUM(D57:D59)</f>
        <v>-6121005</v>
      </c>
      <c r="E56" s="70">
        <f>SUM(E57:E59)</f>
        <v>-6120997.119999999</v>
      </c>
      <c r="F56" s="119">
        <f t="shared" si="6"/>
        <v>0.999998712629707</v>
      </c>
      <c r="G56" s="139">
        <v>-11553950.27</v>
      </c>
      <c r="H56" s="92">
        <f t="shared" si="1"/>
        <v>5432953.15</v>
      </c>
      <c r="I56" s="138">
        <f t="shared" si="2"/>
        <v>-0.4702247303337234</v>
      </c>
      <c r="J56" s="5"/>
      <c r="K56" s="5"/>
      <c r="L56" s="5"/>
      <c r="M56" s="5"/>
      <c r="N56" s="5"/>
      <c r="O56" s="5"/>
      <c r="P56" s="5"/>
      <c r="Q56" s="5"/>
      <c r="R56" s="5"/>
    </row>
    <row r="57" spans="1:18" s="33" customFormat="1" ht="12.75">
      <c r="A57" s="71" t="s">
        <v>81</v>
      </c>
      <c r="B57" s="72"/>
      <c r="C57" s="73" t="s">
        <v>74</v>
      </c>
      <c r="D57" s="43">
        <f>'[1]kuu aa'!D169</f>
        <v>-5870000</v>
      </c>
      <c r="E57" s="43">
        <f>'[1]kuu aa'!E169</f>
        <v>-5869996.1</v>
      </c>
      <c r="F57" s="116">
        <f t="shared" si="6"/>
        <v>0.99999933560477</v>
      </c>
      <c r="G57" s="139">
        <v>-4737916.6</v>
      </c>
      <c r="H57" s="92">
        <f t="shared" si="1"/>
        <v>-1132079.5</v>
      </c>
      <c r="I57" s="138">
        <f t="shared" si="2"/>
        <v>0.23894036041073413</v>
      </c>
      <c r="J57" s="5"/>
      <c r="K57" s="5"/>
      <c r="L57" s="5"/>
      <c r="M57" s="5"/>
      <c r="N57" s="5"/>
      <c r="O57" s="5"/>
      <c r="P57" s="5"/>
      <c r="Q57" s="5"/>
      <c r="R57" s="5"/>
    </row>
    <row r="58" spans="1:18" s="33" customFormat="1" ht="12.75">
      <c r="A58" s="71" t="s">
        <v>82</v>
      </c>
      <c r="B58" s="72"/>
      <c r="C58" s="73" t="s">
        <v>76</v>
      </c>
      <c r="D58" s="43">
        <f>'[1]kuu aa'!D170</f>
        <v>0</v>
      </c>
      <c r="E58" s="43">
        <f>'[1]kuu aa'!E170</f>
        <v>0</v>
      </c>
      <c r="F58" s="116" t="e">
        <f t="shared" si="6"/>
        <v>#DIV/0!</v>
      </c>
      <c r="G58" s="139">
        <v>-6583000</v>
      </c>
      <c r="H58" s="92">
        <f t="shared" si="1"/>
        <v>6583000</v>
      </c>
      <c r="I58" s="138">
        <f t="shared" si="2"/>
        <v>-1</v>
      </c>
      <c r="J58" s="5"/>
      <c r="K58" s="5"/>
      <c r="L58" s="5"/>
      <c r="M58" s="5"/>
      <c r="N58" s="5"/>
      <c r="O58" s="5"/>
      <c r="P58" s="5"/>
      <c r="Q58" s="5"/>
      <c r="R58" s="5"/>
    </row>
    <row r="59" spans="1:18" s="33" customFormat="1" ht="13.5" thickBot="1">
      <c r="A59" s="71" t="s">
        <v>83</v>
      </c>
      <c r="B59" s="76"/>
      <c r="C59" s="73" t="s">
        <v>78</v>
      </c>
      <c r="D59" s="43">
        <f>'[1]kuu aa'!D171</f>
        <v>-251005</v>
      </c>
      <c r="E59" s="43">
        <f>'[1]kuu aa'!E171</f>
        <v>-251001.02</v>
      </c>
      <c r="F59" s="116">
        <f t="shared" si="6"/>
        <v>0.9999841437421565</v>
      </c>
      <c r="G59" s="139">
        <v>-233033.67</v>
      </c>
      <c r="H59" s="92">
        <f t="shared" si="1"/>
        <v>-17967.349999999977</v>
      </c>
      <c r="I59" s="138">
        <f t="shared" si="2"/>
        <v>0.07710194840084686</v>
      </c>
      <c r="J59" s="5"/>
      <c r="K59" s="5"/>
      <c r="L59" s="5"/>
      <c r="M59" s="5"/>
      <c r="N59" s="5"/>
      <c r="O59" s="5"/>
      <c r="P59" s="5"/>
      <c r="Q59" s="5"/>
      <c r="R59" s="5"/>
    </row>
    <row r="60" spans="1:18" s="33" customFormat="1" ht="12.75">
      <c r="A60" s="104">
        <v>1001</v>
      </c>
      <c r="B60" s="105" t="s">
        <v>84</v>
      </c>
      <c r="C60" s="106"/>
      <c r="D60" s="107">
        <f>'[1]kuu aa'!D172</f>
        <v>-7069167.48</v>
      </c>
      <c r="E60" s="107">
        <f>'[1]kuu aa'!E172</f>
        <v>-2160740.5899999933</v>
      </c>
      <c r="F60" s="152">
        <f t="shared" si="6"/>
        <v>0.3056570092748734</v>
      </c>
      <c r="G60" s="140">
        <v>3350749.31</v>
      </c>
      <c r="H60" s="131">
        <f t="shared" si="1"/>
        <v>-5511489.899999993</v>
      </c>
      <c r="I60" s="132">
        <f t="shared" si="2"/>
        <v>-1.6448529538009493</v>
      </c>
      <c r="J60" s="5"/>
      <c r="K60" s="5"/>
      <c r="L60" s="5"/>
      <c r="M60" s="5"/>
      <c r="N60" s="5"/>
      <c r="O60" s="5"/>
      <c r="P60" s="5"/>
      <c r="Q60" s="5"/>
      <c r="R60" s="5"/>
    </row>
    <row r="61" spans="1:18" s="109" customFormat="1" ht="16.5" customHeight="1">
      <c r="A61" s="155"/>
      <c r="B61" s="156"/>
      <c r="C61" s="157"/>
      <c r="D61" s="158"/>
      <c r="E61" s="158"/>
      <c r="F61" s="159"/>
      <c r="G61" s="160"/>
      <c r="H61" s="161"/>
      <c r="I61" s="162"/>
      <c r="J61" s="108"/>
      <c r="K61" s="108"/>
      <c r="L61" s="108"/>
      <c r="M61" s="108"/>
      <c r="N61" s="108"/>
      <c r="O61" s="108"/>
      <c r="P61" s="108"/>
      <c r="Q61" s="108"/>
      <c r="R61" s="108"/>
    </row>
    <row r="62" spans="1:9" ht="12.75">
      <c r="A62" s="153"/>
      <c r="B62" s="171" t="s">
        <v>85</v>
      </c>
      <c r="C62" s="172"/>
      <c r="D62" s="77">
        <f>SUM(D63:D71)</f>
        <v>89744428.38</v>
      </c>
      <c r="E62" s="154">
        <f>SUM(E63:E71)</f>
        <v>87713211.8</v>
      </c>
      <c r="F62" s="122">
        <f>E62/D62</f>
        <v>0.9773666553270658</v>
      </c>
      <c r="G62" s="140">
        <f>SUM(G63:G71)</f>
        <v>84265300.72999999</v>
      </c>
      <c r="H62" s="131">
        <f aca="true" t="shared" si="7" ref="H62:H81">E62-G62</f>
        <v>3447911.0700000077</v>
      </c>
      <c r="I62" s="141">
        <f>H62/G62</f>
        <v>0.040917329436082915</v>
      </c>
    </row>
    <row r="63" spans="1:9" ht="12.75">
      <c r="A63" s="78" t="s">
        <v>86</v>
      </c>
      <c r="B63" s="79" t="s">
        <v>87</v>
      </c>
      <c r="C63" s="80"/>
      <c r="D63" s="81">
        <f>'[1]kuu aa'!D176-'eelarve täitmine'!D73</f>
        <v>6681513</v>
      </c>
      <c r="E63" s="81">
        <f>'[1]kuu aa'!E176-'eelarve täitmine'!E73</f>
        <v>6381024.749999998</v>
      </c>
      <c r="F63" s="120">
        <f>E63/D63</f>
        <v>0.955026915310948</v>
      </c>
      <c r="G63" s="139">
        <v>7229391.81</v>
      </c>
      <c r="H63" s="92">
        <f t="shared" si="7"/>
        <v>-848367.0600000015</v>
      </c>
      <c r="I63" s="138">
        <f>H63/G63</f>
        <v>-0.11734971382053251</v>
      </c>
    </row>
    <row r="64" spans="1:9" ht="12.75">
      <c r="A64" s="82" t="s">
        <v>88</v>
      </c>
      <c r="B64" s="83" t="s">
        <v>89</v>
      </c>
      <c r="C64" s="84"/>
      <c r="D64" s="85">
        <f>'[1]kuu aa'!D184-'eelarve täitmine'!D74</f>
        <v>279921</v>
      </c>
      <c r="E64" s="85">
        <f>'[1]kuu aa'!E184-'eelarve täitmine'!E74</f>
        <v>282564.52</v>
      </c>
      <c r="F64" s="121">
        <f aca="true" t="shared" si="8" ref="F64:F71">E64/D64</f>
        <v>1.0094438073599337</v>
      </c>
      <c r="G64" s="139">
        <v>253094.36</v>
      </c>
      <c r="H64" s="92">
        <f t="shared" si="7"/>
        <v>29470.160000000033</v>
      </c>
      <c r="I64" s="138">
        <f>H64/G64</f>
        <v>0.116439418088969</v>
      </c>
    </row>
    <row r="65" spans="1:9" ht="12.75">
      <c r="A65" s="82" t="s">
        <v>90</v>
      </c>
      <c r="B65" s="83" t="s">
        <v>91</v>
      </c>
      <c r="C65" s="84"/>
      <c r="D65" s="86">
        <f>'[1]kuu aa'!D188-'eelarve täitmine'!D75</f>
        <v>10823559</v>
      </c>
      <c r="E65" s="86">
        <f>'[1]kuu aa'!E188-'eelarve täitmine'!E75</f>
        <v>10689572.260000005</v>
      </c>
      <c r="F65" s="121">
        <f t="shared" si="8"/>
        <v>0.9876208241669866</v>
      </c>
      <c r="G65" s="139">
        <v>9442256.03</v>
      </c>
      <c r="H65" s="92">
        <f t="shared" si="7"/>
        <v>1247316.230000006</v>
      </c>
      <c r="I65" s="138">
        <f>H65/G65</f>
        <v>0.1320993866335571</v>
      </c>
    </row>
    <row r="66" spans="1:9" ht="12.75">
      <c r="A66" s="82" t="s">
        <v>92</v>
      </c>
      <c r="B66" s="83" t="s">
        <v>93</v>
      </c>
      <c r="C66" s="84"/>
      <c r="D66" s="86">
        <f>'[1]kuu aa'!D205-'eelarve täitmine'!D76</f>
        <v>4437261</v>
      </c>
      <c r="E66" s="86">
        <f>'[1]kuu aa'!E205-'eelarve täitmine'!E76</f>
        <v>4395817.75</v>
      </c>
      <c r="F66" s="121">
        <f t="shared" si="8"/>
        <v>0.9906601730211497</v>
      </c>
      <c r="G66" s="139">
        <v>4498559.879999999</v>
      </c>
      <c r="H66" s="92">
        <f t="shared" si="7"/>
        <v>-102742.12999999896</v>
      </c>
      <c r="I66" s="138">
        <f>H66/G66</f>
        <v>-0.022838893499401186</v>
      </c>
    </row>
    <row r="67" spans="1:9" ht="12.75">
      <c r="A67" s="82" t="s">
        <v>94</v>
      </c>
      <c r="B67" s="83" t="s">
        <v>95</v>
      </c>
      <c r="C67" s="84"/>
      <c r="D67" s="86">
        <f>'[1]kuu aa'!D211-'eelarve täitmine'!D77</f>
        <v>1511248.62</v>
      </c>
      <c r="E67" s="86">
        <f>'[1]kuu aa'!E211-'eelarve täitmine'!E77</f>
        <v>1464488.5</v>
      </c>
      <c r="F67" s="121">
        <f t="shared" si="8"/>
        <v>0.9690586185613853</v>
      </c>
      <c r="G67" s="139">
        <v>1394364.3699999999</v>
      </c>
      <c r="H67" s="92">
        <f t="shared" si="7"/>
        <v>70124.13000000012</v>
      </c>
      <c r="I67" s="138">
        <f>H67/G67</f>
        <v>0.050291108628944765</v>
      </c>
    </row>
    <row r="68" spans="1:18" s="93" customFormat="1" ht="12.75">
      <c r="A68" s="82" t="s">
        <v>96</v>
      </c>
      <c r="B68" s="83" t="s">
        <v>97</v>
      </c>
      <c r="C68" s="84"/>
      <c r="D68" s="86">
        <f>'[1]kuu aa'!D218-'eelarve täitmine'!D78</f>
        <v>430183</v>
      </c>
      <c r="E68" s="86">
        <f>'[1]kuu aa'!E218-'eelarve täitmine'!E78</f>
        <v>409143.75</v>
      </c>
      <c r="F68" s="121">
        <f t="shared" si="8"/>
        <v>0.9510923258241261</v>
      </c>
      <c r="G68" s="139">
        <v>390677.15</v>
      </c>
      <c r="H68" s="92">
        <f t="shared" si="7"/>
        <v>18466.599999999977</v>
      </c>
      <c r="I68" s="138">
        <f>H68/G68</f>
        <v>0.04726818550816186</v>
      </c>
      <c r="J68" s="5"/>
      <c r="K68" s="5"/>
      <c r="L68" s="5"/>
      <c r="M68" s="5"/>
      <c r="N68" s="5"/>
      <c r="O68" s="5"/>
      <c r="P68" s="5"/>
      <c r="Q68" s="5"/>
      <c r="R68" s="5"/>
    </row>
    <row r="69" spans="1:18" s="93" customFormat="1" ht="12.75">
      <c r="A69" s="82" t="s">
        <v>98</v>
      </c>
      <c r="B69" s="83" t="s">
        <v>99</v>
      </c>
      <c r="C69" s="84"/>
      <c r="D69" s="86">
        <f>'[1]kuu aa'!D225-'eelarve täitmine'!D79</f>
        <v>7529670</v>
      </c>
      <c r="E69" s="86">
        <f>'[1]kuu aa'!E225-'eelarve täitmine'!E79</f>
        <v>7466206.67</v>
      </c>
      <c r="F69" s="121">
        <f t="shared" si="8"/>
        <v>0.9915715655533377</v>
      </c>
      <c r="G69" s="139">
        <v>7330635.400000002</v>
      </c>
      <c r="H69" s="92">
        <f t="shared" si="7"/>
        <v>135571.2699999977</v>
      </c>
      <c r="I69" s="138">
        <f>H69/G69</f>
        <v>0.018493795230901493</v>
      </c>
      <c r="J69" s="5"/>
      <c r="K69" s="5"/>
      <c r="L69" s="5"/>
      <c r="M69" s="5"/>
      <c r="N69" s="5"/>
      <c r="O69" s="5"/>
      <c r="P69" s="5"/>
      <c r="Q69" s="5"/>
      <c r="R69" s="5"/>
    </row>
    <row r="70" spans="1:18" s="93" customFormat="1" ht="12.75">
      <c r="A70" s="82" t="s">
        <v>100</v>
      </c>
      <c r="B70" s="83" t="s">
        <v>101</v>
      </c>
      <c r="C70" s="84"/>
      <c r="D70" s="86">
        <f>'[1]kuu aa'!D249-'eelarve täitmine'!D80</f>
        <v>49668032.76</v>
      </c>
      <c r="E70" s="86">
        <f>'[1]kuu aa'!E249-'eelarve täitmine'!E80</f>
        <v>48591512.050000004</v>
      </c>
      <c r="F70" s="121">
        <f t="shared" si="8"/>
        <v>0.9783256825330323</v>
      </c>
      <c r="G70" s="139">
        <v>46051242.79</v>
      </c>
      <c r="H70" s="92">
        <f t="shared" si="7"/>
        <v>2540269.2600000054</v>
      </c>
      <c r="I70" s="138">
        <f aca="true" t="shared" si="9" ref="I70:I81">H70/G70</f>
        <v>0.05516179599286783</v>
      </c>
      <c r="J70" s="5"/>
      <c r="K70" s="5"/>
      <c r="L70" s="5"/>
      <c r="M70" s="5"/>
      <c r="N70" s="5"/>
      <c r="O70" s="5"/>
      <c r="P70" s="5"/>
      <c r="Q70" s="5"/>
      <c r="R70" s="5"/>
    </row>
    <row r="71" spans="1:18" s="93" customFormat="1" ht="12.75">
      <c r="A71" s="82" t="s">
        <v>102</v>
      </c>
      <c r="B71" s="83" t="s">
        <v>103</v>
      </c>
      <c r="C71" s="84"/>
      <c r="D71" s="86">
        <f>'[1]kuu aa'!D263-'eelarve täitmine'!D81</f>
        <v>8383040</v>
      </c>
      <c r="E71" s="86">
        <f>'[1]kuu aa'!E263-'eelarve täitmine'!E81</f>
        <v>8032881.55</v>
      </c>
      <c r="F71" s="121">
        <f t="shared" si="8"/>
        <v>0.9582301348913997</v>
      </c>
      <c r="G71" s="139">
        <v>7675078.939999999</v>
      </c>
      <c r="H71" s="92">
        <f t="shared" si="7"/>
        <v>357802.61000000127</v>
      </c>
      <c r="I71" s="138">
        <f t="shared" si="9"/>
        <v>0.04661875308347009</v>
      </c>
      <c r="J71" s="5"/>
      <c r="K71" s="5"/>
      <c r="L71" s="5"/>
      <c r="M71" s="5"/>
      <c r="N71" s="5"/>
      <c r="O71" s="5"/>
      <c r="P71" s="5"/>
      <c r="Q71" s="5"/>
      <c r="R71" s="5"/>
    </row>
    <row r="72" spans="1:18" s="93" customFormat="1" ht="12.75">
      <c r="A72" s="87"/>
      <c r="B72" s="171" t="s">
        <v>104</v>
      </c>
      <c r="C72" s="172"/>
      <c r="D72" s="88">
        <f>SUM(D73:D81)</f>
        <v>38912041</v>
      </c>
      <c r="E72" s="89">
        <f>SUM(E73:E81)</f>
        <v>24932138</v>
      </c>
      <c r="F72" s="122">
        <f>E72/D72</f>
        <v>0.6407306674044674</v>
      </c>
      <c r="G72" s="140">
        <f>SUM(G73:G81)</f>
        <v>10783699.88</v>
      </c>
      <c r="H72" s="131">
        <f t="shared" si="7"/>
        <v>14148438.12</v>
      </c>
      <c r="I72" s="132">
        <f t="shared" si="9"/>
        <v>1.3120207607261412</v>
      </c>
      <c r="J72" s="5"/>
      <c r="K72" s="5"/>
      <c r="L72" s="5"/>
      <c r="M72" s="5"/>
      <c r="N72" s="5"/>
      <c r="O72" s="5"/>
      <c r="P72" s="5"/>
      <c r="Q72" s="5"/>
      <c r="R72" s="5"/>
    </row>
    <row r="73" spans="1:18" s="93" customFormat="1" ht="12.75">
      <c r="A73" s="82" t="s">
        <v>86</v>
      </c>
      <c r="B73" s="83" t="s">
        <v>87</v>
      </c>
      <c r="C73" s="90"/>
      <c r="D73" s="86">
        <v>1398543</v>
      </c>
      <c r="E73" s="91">
        <v>1355299</v>
      </c>
      <c r="F73" s="121">
        <f>E73/D73</f>
        <v>0.969079248904038</v>
      </c>
      <c r="G73" s="139">
        <v>191189.7</v>
      </c>
      <c r="H73" s="92">
        <f t="shared" si="7"/>
        <v>1164109.3</v>
      </c>
      <c r="I73" s="138">
        <f t="shared" si="9"/>
        <v>6.088765765101362</v>
      </c>
      <c r="J73" s="5"/>
      <c r="K73" s="5"/>
      <c r="L73" s="5"/>
      <c r="M73" s="5"/>
      <c r="N73" s="5"/>
      <c r="O73" s="5"/>
      <c r="P73" s="5"/>
      <c r="Q73" s="5"/>
      <c r="R73" s="5"/>
    </row>
    <row r="74" spans="1:18" s="93" customFormat="1" ht="12.75">
      <c r="A74" s="82" t="s">
        <v>88</v>
      </c>
      <c r="B74" s="83" t="s">
        <v>89</v>
      </c>
      <c r="C74" s="84"/>
      <c r="D74" s="86">
        <v>0</v>
      </c>
      <c r="E74" s="91">
        <v>0</v>
      </c>
      <c r="F74" s="123" t="s">
        <v>105</v>
      </c>
      <c r="G74" s="139">
        <v>0</v>
      </c>
      <c r="H74" s="92">
        <f t="shared" si="7"/>
        <v>0</v>
      </c>
      <c r="I74" s="138" t="e">
        <f t="shared" si="9"/>
        <v>#DIV/0!</v>
      </c>
      <c r="J74" s="5"/>
      <c r="K74" s="5"/>
      <c r="L74" s="5"/>
      <c r="M74" s="5"/>
      <c r="N74" s="5"/>
      <c r="O74" s="5"/>
      <c r="P74" s="5"/>
      <c r="Q74" s="5"/>
      <c r="R74" s="5"/>
    </row>
    <row r="75" spans="1:18" s="93" customFormat="1" ht="12.75">
      <c r="A75" s="82" t="s">
        <v>90</v>
      </c>
      <c r="B75" s="83" t="s">
        <v>91</v>
      </c>
      <c r="C75" s="84"/>
      <c r="D75" s="86">
        <v>21087466</v>
      </c>
      <c r="E75" s="91">
        <v>8435160</v>
      </c>
      <c r="F75" s="121">
        <f aca="true" t="shared" si="10" ref="F75:F81">E75/D75</f>
        <v>0.40000823237841854</v>
      </c>
      <c r="G75" s="139">
        <v>3188127.14</v>
      </c>
      <c r="H75" s="92">
        <f t="shared" si="7"/>
        <v>5247032.859999999</v>
      </c>
      <c r="I75" s="138">
        <f t="shared" si="9"/>
        <v>1.64580414443572</v>
      </c>
      <c r="J75" s="5"/>
      <c r="K75" s="5"/>
      <c r="L75" s="5"/>
      <c r="M75" s="5"/>
      <c r="N75" s="5"/>
      <c r="O75" s="5"/>
      <c r="P75" s="5"/>
      <c r="Q75" s="5"/>
      <c r="R75" s="5"/>
    </row>
    <row r="76" spans="1:18" s="93" customFormat="1" ht="12.75">
      <c r="A76" s="82" t="s">
        <v>92</v>
      </c>
      <c r="B76" s="83" t="s">
        <v>93</v>
      </c>
      <c r="C76" s="84"/>
      <c r="D76" s="86">
        <v>459811</v>
      </c>
      <c r="E76" s="91">
        <v>275270</v>
      </c>
      <c r="F76" s="121">
        <f t="shared" si="10"/>
        <v>0.5986590142471581</v>
      </c>
      <c r="G76" s="139">
        <v>157741.9</v>
      </c>
      <c r="H76" s="92">
        <f t="shared" si="7"/>
        <v>117528.1</v>
      </c>
      <c r="I76" s="138">
        <f t="shared" si="9"/>
        <v>0.745065832223398</v>
      </c>
      <c r="J76" s="5"/>
      <c r="K76" s="5"/>
      <c r="L76" s="5"/>
      <c r="M76" s="5"/>
      <c r="N76" s="5"/>
      <c r="O76" s="5"/>
      <c r="P76" s="5"/>
      <c r="Q76" s="5"/>
      <c r="R76" s="5"/>
    </row>
    <row r="77" spans="1:18" s="93" customFormat="1" ht="12.75">
      <c r="A77" s="82" t="s">
        <v>94</v>
      </c>
      <c r="B77" s="83" t="s">
        <v>95</v>
      </c>
      <c r="C77" s="84"/>
      <c r="D77" s="86">
        <v>411454</v>
      </c>
      <c r="E77" s="91">
        <v>361753</v>
      </c>
      <c r="F77" s="121">
        <f t="shared" si="10"/>
        <v>0.8792064240474027</v>
      </c>
      <c r="G77" s="139">
        <v>256316.18</v>
      </c>
      <c r="H77" s="92">
        <f t="shared" si="7"/>
        <v>105436.82</v>
      </c>
      <c r="I77" s="138">
        <f t="shared" si="9"/>
        <v>0.4113545231518354</v>
      </c>
      <c r="J77" s="5"/>
      <c r="K77" s="5"/>
      <c r="L77" s="5"/>
      <c r="M77" s="5"/>
      <c r="N77" s="5"/>
      <c r="O77" s="5"/>
      <c r="P77" s="5"/>
      <c r="Q77" s="5"/>
      <c r="R77" s="5"/>
    </row>
    <row r="78" spans="1:18" s="93" customFormat="1" ht="12.75">
      <c r="A78" s="82" t="s">
        <v>96</v>
      </c>
      <c r="B78" s="83" t="s">
        <v>97</v>
      </c>
      <c r="C78" s="84"/>
      <c r="D78" s="86">
        <v>0</v>
      </c>
      <c r="E78" s="91">
        <v>0</v>
      </c>
      <c r="F78" s="123" t="s">
        <v>105</v>
      </c>
      <c r="G78" s="139">
        <v>2870</v>
      </c>
      <c r="H78" s="92">
        <f t="shared" si="7"/>
        <v>-2870</v>
      </c>
      <c r="I78" s="138">
        <f t="shared" si="9"/>
        <v>-1</v>
      </c>
      <c r="J78" s="5"/>
      <c r="K78" s="5"/>
      <c r="L78" s="5"/>
      <c r="M78" s="5"/>
      <c r="N78" s="5"/>
      <c r="O78" s="5"/>
      <c r="P78" s="5"/>
      <c r="Q78" s="5"/>
      <c r="R78" s="5"/>
    </row>
    <row r="79" spans="1:18" s="93" customFormat="1" ht="12.75">
      <c r="A79" s="82" t="s">
        <v>98</v>
      </c>
      <c r="B79" s="83" t="s">
        <v>99</v>
      </c>
      <c r="C79" s="84"/>
      <c r="D79" s="86">
        <v>2383727</v>
      </c>
      <c r="E79" s="91">
        <v>2689106</v>
      </c>
      <c r="F79" s="121">
        <f>E79/D79</f>
        <v>1.1281098884226255</v>
      </c>
      <c r="G79" s="139">
        <v>2580123.57</v>
      </c>
      <c r="H79" s="92">
        <f t="shared" si="7"/>
        <v>108982.43000000017</v>
      </c>
      <c r="I79" s="138">
        <f t="shared" si="9"/>
        <v>0.042239228875382964</v>
      </c>
      <c r="J79" s="5"/>
      <c r="K79" s="5"/>
      <c r="L79" s="5"/>
      <c r="M79" s="5"/>
      <c r="N79" s="5"/>
      <c r="O79" s="5"/>
      <c r="P79" s="5"/>
      <c r="Q79" s="5"/>
      <c r="R79" s="5"/>
    </row>
    <row r="80" spans="1:18" s="93" customFormat="1" ht="12.75">
      <c r="A80" s="82" t="s">
        <v>100</v>
      </c>
      <c r="B80" s="83" t="s">
        <v>101</v>
      </c>
      <c r="C80" s="84"/>
      <c r="D80" s="86">
        <v>12861759</v>
      </c>
      <c r="E80" s="91">
        <v>11544021</v>
      </c>
      <c r="F80" s="121">
        <f t="shared" si="10"/>
        <v>0.8975460510494715</v>
      </c>
      <c r="G80" s="139">
        <v>3641758.2600000002</v>
      </c>
      <c r="H80" s="92">
        <f t="shared" si="7"/>
        <v>7902262.74</v>
      </c>
      <c r="I80" s="138">
        <f t="shared" si="9"/>
        <v>2.169903155515874</v>
      </c>
      <c r="J80" s="5"/>
      <c r="K80" s="5"/>
      <c r="L80" s="5"/>
      <c r="M80" s="5"/>
      <c r="N80" s="5"/>
      <c r="O80" s="5"/>
      <c r="P80" s="5"/>
      <c r="Q80" s="5"/>
      <c r="R80" s="5"/>
    </row>
    <row r="81" spans="1:18" s="93" customFormat="1" ht="13.5" thickBot="1">
      <c r="A81" s="94" t="s">
        <v>102</v>
      </c>
      <c r="B81" s="95" t="s">
        <v>103</v>
      </c>
      <c r="C81" s="96"/>
      <c r="D81" s="97">
        <v>309281</v>
      </c>
      <c r="E81" s="98">
        <v>271529</v>
      </c>
      <c r="F81" s="124">
        <f t="shared" si="10"/>
        <v>0.8779362456794954</v>
      </c>
      <c r="G81" s="146">
        <v>765573.13</v>
      </c>
      <c r="H81" s="147">
        <f t="shared" si="7"/>
        <v>-494044.13</v>
      </c>
      <c r="I81" s="148">
        <f t="shared" si="9"/>
        <v>-0.6453258488839596</v>
      </c>
      <c r="J81" s="5"/>
      <c r="K81" s="5"/>
      <c r="L81" s="5"/>
      <c r="M81" s="5"/>
      <c r="N81" s="5"/>
      <c r="O81" s="5"/>
      <c r="P81" s="5"/>
      <c r="Q81" s="5"/>
      <c r="R81" s="5"/>
    </row>
    <row r="82" spans="1:18" s="93" customFormat="1" ht="12.75">
      <c r="A82" s="99"/>
      <c r="B82" s="5"/>
      <c r="C82" s="5"/>
      <c r="D82" s="17"/>
      <c r="E82" s="100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s="93" customFormat="1" ht="12.75">
      <c r="A83" s="99"/>
      <c r="B83" s="5"/>
      <c r="C83" s="5"/>
      <c r="D83" s="17"/>
      <c r="E83" s="100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s="93" customFormat="1" ht="12.75">
      <c r="A84" s="99"/>
      <c r="B84" s="5"/>
      <c r="C84" s="5"/>
      <c r="D84" s="17"/>
      <c r="E84" s="100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s="93" customFormat="1" ht="12.75">
      <c r="A85" s="99"/>
      <c r="B85" s="5"/>
      <c r="C85" s="5"/>
      <c r="D85" s="17"/>
      <c r="E85" s="100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s="93" customFormat="1" ht="12.75">
      <c r="A86" s="99"/>
      <c r="B86" s="5"/>
      <c r="C86" s="5"/>
      <c r="D86" s="17"/>
      <c r="E86" s="100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s="93" customFormat="1" ht="12.75">
      <c r="A87" s="99"/>
      <c r="B87" s="5"/>
      <c r="C87" s="5"/>
      <c r="D87" s="17"/>
      <c r="E87" s="100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s="93" customFormat="1" ht="12.75">
      <c r="A88" s="99"/>
      <c r="B88" s="5"/>
      <c r="C88" s="5"/>
      <c r="D88" s="17"/>
      <c r="E88" s="100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s="93" customFormat="1" ht="12.75">
      <c r="A89" s="99"/>
      <c r="B89" s="5"/>
      <c r="C89" s="5"/>
      <c r="D89" s="17"/>
      <c r="E89" s="100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s="93" customFormat="1" ht="12.75">
      <c r="A90" s="99"/>
      <c r="B90" s="5"/>
      <c r="C90" s="5"/>
      <c r="D90" s="17"/>
      <c r="E90" s="100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s="93" customFormat="1" ht="12.75">
      <c r="A91" s="99"/>
      <c r="B91" s="5"/>
      <c r="C91" s="5"/>
      <c r="D91" s="17"/>
      <c r="E91" s="100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s="93" customFormat="1" ht="12.75">
      <c r="A92" s="99"/>
      <c r="B92" s="5"/>
      <c r="C92" s="5"/>
      <c r="D92" s="17"/>
      <c r="E92" s="100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s="93" customFormat="1" ht="12.75">
      <c r="A93" s="99"/>
      <c r="B93" s="5"/>
      <c r="C93" s="5"/>
      <c r="D93" s="17"/>
      <c r="E93" s="100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s="93" customFormat="1" ht="12.75">
      <c r="A94" s="99"/>
      <c r="B94" s="5"/>
      <c r="C94" s="5"/>
      <c r="D94" s="17"/>
      <c r="E94" s="100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s="93" customFormat="1" ht="12.75">
      <c r="A95" s="99"/>
      <c r="B95" s="5"/>
      <c r="C95" s="5"/>
      <c r="D95" s="17"/>
      <c r="E95" s="100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s="93" customFormat="1" ht="12.75">
      <c r="A96" s="99"/>
      <c r="B96" s="5"/>
      <c r="C96" s="5"/>
      <c r="D96" s="17"/>
      <c r="E96" s="100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s="93" customFormat="1" ht="12.75">
      <c r="A97" s="99"/>
      <c r="B97" s="5"/>
      <c r="C97" s="5"/>
      <c r="D97" s="17"/>
      <c r="E97" s="100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s="93" customFormat="1" ht="12.75">
      <c r="A98" s="99"/>
      <c r="B98" s="5"/>
      <c r="C98" s="5"/>
      <c r="D98" s="17"/>
      <c r="E98" s="100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s="93" customFormat="1" ht="12.75">
      <c r="A99" s="99"/>
      <c r="B99" s="5"/>
      <c r="C99" s="5"/>
      <c r="D99" s="17"/>
      <c r="E99" s="100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s="93" customFormat="1" ht="12.75">
      <c r="A100" s="99"/>
      <c r="B100" s="5"/>
      <c r="C100" s="5"/>
      <c r="D100" s="17"/>
      <c r="E100" s="100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s="93" customFormat="1" ht="12.75">
      <c r="A101" s="99"/>
      <c r="B101" s="5"/>
      <c r="C101" s="5"/>
      <c r="D101" s="17"/>
      <c r="E101" s="100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s="93" customFormat="1" ht="12.75">
      <c r="A102" s="99"/>
      <c r="B102" s="5"/>
      <c r="C102" s="5"/>
      <c r="D102" s="17"/>
      <c r="E102" s="100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s="93" customFormat="1" ht="12.75">
      <c r="A103" s="99"/>
      <c r="B103" s="5"/>
      <c r="C103" s="5"/>
      <c r="D103" s="17"/>
      <c r="E103" s="100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s="93" customFormat="1" ht="12.75">
      <c r="A104" s="99"/>
      <c r="B104" s="5"/>
      <c r="C104" s="5"/>
      <c r="D104" s="17"/>
      <c r="E104" s="100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s="93" customFormat="1" ht="12.75">
      <c r="A105" s="99"/>
      <c r="B105" s="5"/>
      <c r="C105" s="5"/>
      <c r="D105" s="17"/>
      <c r="E105" s="100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s="93" customFormat="1" ht="12.75">
      <c r="A106" s="99"/>
      <c r="B106" s="5"/>
      <c r="C106" s="5"/>
      <c r="D106" s="17"/>
      <c r="E106" s="100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s="93" customFormat="1" ht="12.75">
      <c r="A107" s="99"/>
      <c r="B107" s="5"/>
      <c r="C107" s="5"/>
      <c r="D107" s="17"/>
      <c r="E107" s="100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s="93" customFormat="1" ht="12.75">
      <c r="A108" s="99"/>
      <c r="B108" s="5"/>
      <c r="C108" s="5"/>
      <c r="D108" s="17"/>
      <c r="E108" s="100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s="93" customFormat="1" ht="12.75">
      <c r="A109" s="99"/>
      <c r="B109" s="5"/>
      <c r="C109" s="5"/>
      <c r="D109" s="17"/>
      <c r="E109" s="100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s="93" customFormat="1" ht="12.75">
      <c r="A110" s="99"/>
      <c r="B110" s="5"/>
      <c r="C110" s="5"/>
      <c r="D110" s="17"/>
      <c r="E110" s="100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s="93" customFormat="1" ht="12.75">
      <c r="A111" s="99"/>
      <c r="B111" s="5"/>
      <c r="C111" s="5"/>
      <c r="D111" s="17"/>
      <c r="E111" s="100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s="93" customFormat="1" ht="12.75">
      <c r="A112" s="99"/>
      <c r="B112" s="5"/>
      <c r="C112" s="5"/>
      <c r="D112" s="17"/>
      <c r="E112" s="100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s="93" customFormat="1" ht="12.75">
      <c r="A113" s="99"/>
      <c r="B113" s="5"/>
      <c r="C113" s="5"/>
      <c r="D113" s="17"/>
      <c r="E113" s="100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s="93" customFormat="1" ht="12.75">
      <c r="A114" s="99"/>
      <c r="B114" s="5"/>
      <c r="C114" s="5"/>
      <c r="D114" s="17"/>
      <c r="E114" s="100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s="93" customFormat="1" ht="12.75">
      <c r="A115" s="99"/>
      <c r="B115" s="5"/>
      <c r="C115" s="5"/>
      <c r="D115" s="17"/>
      <c r="E115" s="100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s="93" customFormat="1" ht="12.75">
      <c r="A116" s="99"/>
      <c r="B116" s="5"/>
      <c r="C116" s="5"/>
      <c r="D116" s="17"/>
      <c r="E116" s="100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s="93" customFormat="1" ht="12.75">
      <c r="A117" s="99"/>
      <c r="B117" s="5"/>
      <c r="C117" s="5"/>
      <c r="D117" s="17"/>
      <c r="E117" s="100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s="93" customFormat="1" ht="12.75">
      <c r="A118" s="99"/>
      <c r="B118" s="5"/>
      <c r="C118" s="5"/>
      <c r="D118" s="17"/>
      <c r="E118" s="100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s="93" customFormat="1" ht="12.75">
      <c r="A119" s="99"/>
      <c r="B119" s="5"/>
      <c r="C119" s="5"/>
      <c r="D119" s="17"/>
      <c r="E119" s="100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s="93" customFormat="1" ht="12.75">
      <c r="A120" s="99"/>
      <c r="B120" s="5"/>
      <c r="C120" s="5"/>
      <c r="D120" s="17"/>
      <c r="E120" s="100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s="93" customFormat="1" ht="12.75">
      <c r="A121" s="99"/>
      <c r="B121" s="5"/>
      <c r="C121" s="5"/>
      <c r="D121" s="17"/>
      <c r="E121" s="100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s="93" customFormat="1" ht="12.75">
      <c r="A122" s="99"/>
      <c r="B122" s="5"/>
      <c r="C122" s="5"/>
      <c r="D122" s="17"/>
      <c r="E122" s="100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s="93" customFormat="1" ht="12.75">
      <c r="A123" s="99"/>
      <c r="B123" s="5"/>
      <c r="C123" s="5"/>
      <c r="D123" s="17"/>
      <c r="E123" s="100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s="93" customFormat="1" ht="12.75">
      <c r="A124" s="99"/>
      <c r="B124" s="5"/>
      <c r="C124" s="5"/>
      <c r="D124" s="17"/>
      <c r="E124" s="100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s="93" customFormat="1" ht="12.75">
      <c r="A125" s="99"/>
      <c r="B125" s="5"/>
      <c r="C125" s="5"/>
      <c r="D125" s="17"/>
      <c r="E125" s="100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s="93" customFormat="1" ht="12.75">
      <c r="A126" s="99"/>
      <c r="B126" s="5"/>
      <c r="C126" s="5"/>
      <c r="D126" s="17"/>
      <c r="E126" s="100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s="93" customFormat="1" ht="12.75">
      <c r="A127" s="99"/>
      <c r="B127" s="5"/>
      <c r="C127" s="5"/>
      <c r="D127" s="17"/>
      <c r="E127" s="100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s="93" customFormat="1" ht="12.75">
      <c r="A128" s="99"/>
      <c r="B128" s="5"/>
      <c r="C128" s="5"/>
      <c r="D128" s="17"/>
      <c r="E128" s="100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s="93" customFormat="1" ht="12.75">
      <c r="A129" s="99"/>
      <c r="B129" s="5"/>
      <c r="C129" s="5"/>
      <c r="D129" s="17"/>
      <c r="E129" s="100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s="93" customFormat="1" ht="12.75">
      <c r="A130" s="99"/>
      <c r="B130" s="5"/>
      <c r="C130" s="5"/>
      <c r="D130" s="17"/>
      <c r="E130" s="100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s="93" customFormat="1" ht="12.75">
      <c r="A131" s="99"/>
      <c r="B131" s="5"/>
      <c r="C131" s="5"/>
      <c r="D131" s="17"/>
      <c r="E131" s="100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s="93" customFormat="1" ht="12.75">
      <c r="A132" s="99"/>
      <c r="B132" s="5"/>
      <c r="C132" s="5"/>
      <c r="D132" s="17"/>
      <c r="E132" s="100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s="93" customFormat="1" ht="12.75">
      <c r="A133" s="99"/>
      <c r="B133" s="5"/>
      <c r="C133" s="5"/>
      <c r="D133" s="17"/>
      <c r="E133" s="100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s="93" customFormat="1" ht="12.75">
      <c r="A134" s="99"/>
      <c r="B134" s="5"/>
      <c r="C134" s="5"/>
      <c r="D134" s="17"/>
      <c r="E134" s="100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s="93" customFormat="1" ht="12.75">
      <c r="A135" s="99"/>
      <c r="B135" s="5"/>
      <c r="C135" s="5"/>
      <c r="D135" s="17"/>
      <c r="E135" s="100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s="93" customFormat="1" ht="12.75">
      <c r="A136" s="99"/>
      <c r="B136" s="5"/>
      <c r="C136" s="5"/>
      <c r="D136" s="17"/>
      <c r="E136" s="100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s="93" customFormat="1" ht="12.75">
      <c r="A137" s="99"/>
      <c r="B137" s="5"/>
      <c r="C137" s="5"/>
      <c r="D137" s="17"/>
      <c r="E137" s="100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s="93" customFormat="1" ht="12.75">
      <c r="A138" s="99"/>
      <c r="B138" s="5"/>
      <c r="C138" s="5"/>
      <c r="D138" s="17"/>
      <c r="E138" s="100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s="93" customFormat="1" ht="12.75">
      <c r="A139" s="99"/>
      <c r="B139" s="5"/>
      <c r="C139" s="5"/>
      <c r="D139" s="17"/>
      <c r="E139" s="100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s="93" customFormat="1" ht="12.75">
      <c r="A140" s="99"/>
      <c r="B140" s="5"/>
      <c r="C140" s="5"/>
      <c r="D140" s="101"/>
      <c r="E140" s="102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s="93" customFormat="1" ht="12.75">
      <c r="A141" s="99"/>
      <c r="B141" s="5"/>
      <c r="C141" s="5"/>
      <c r="D141" s="101"/>
      <c r="E141" s="102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s="93" customFormat="1" ht="12.75">
      <c r="A142" s="99"/>
      <c r="B142" s="5"/>
      <c r="C142" s="5"/>
      <c r="D142" s="101"/>
      <c r="E142" s="102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s="93" customFormat="1" ht="12.75">
      <c r="A143" s="99"/>
      <c r="B143" s="5"/>
      <c r="C143" s="5"/>
      <c r="D143" s="101"/>
      <c r="E143" s="102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s="93" customFormat="1" ht="12.75">
      <c r="A144" s="99"/>
      <c r="B144" s="5"/>
      <c r="C144" s="5"/>
      <c r="D144" s="101"/>
      <c r="E144" s="102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s="93" customFormat="1" ht="12.75">
      <c r="A145" s="99"/>
      <c r="B145" s="5"/>
      <c r="C145" s="5"/>
      <c r="D145" s="101"/>
      <c r="E145" s="102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s="93" customFormat="1" ht="12.75">
      <c r="A146" s="99"/>
      <c r="B146" s="5"/>
      <c r="C146" s="5"/>
      <c r="D146" s="101"/>
      <c r="E146" s="102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s="93" customFormat="1" ht="12.75">
      <c r="A147" s="99"/>
      <c r="B147" s="5"/>
      <c r="C147" s="5"/>
      <c r="D147" s="101"/>
      <c r="E147" s="102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s="93" customFormat="1" ht="12.75">
      <c r="A148" s="99"/>
      <c r="B148" s="5"/>
      <c r="C148" s="5"/>
      <c r="D148" s="101"/>
      <c r="E148" s="102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s="93" customFormat="1" ht="12.75">
      <c r="A149" s="99"/>
      <c r="B149" s="5"/>
      <c r="C149" s="5"/>
      <c r="D149" s="101"/>
      <c r="E149" s="102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s="93" customFormat="1" ht="12.75">
      <c r="A150" s="99"/>
      <c r="B150" s="5"/>
      <c r="C150" s="5"/>
      <c r="D150" s="101"/>
      <c r="E150" s="102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s="93" customFormat="1" ht="12.75">
      <c r="A151" s="99"/>
      <c r="B151" s="5"/>
      <c r="C151" s="5"/>
      <c r="D151" s="101"/>
      <c r="E151" s="102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s="93" customFormat="1" ht="12.75">
      <c r="A152" s="99"/>
      <c r="B152" s="5"/>
      <c r="C152" s="5"/>
      <c r="D152" s="101"/>
      <c r="E152" s="102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s="93" customFormat="1" ht="12.75">
      <c r="A153" s="99"/>
      <c r="B153" s="5"/>
      <c r="C153" s="5"/>
      <c r="D153" s="101"/>
      <c r="E153" s="102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s="93" customFormat="1" ht="12.75">
      <c r="A154" s="99"/>
      <c r="B154" s="5"/>
      <c r="C154" s="5"/>
      <c r="D154" s="101"/>
      <c r="E154" s="102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s="93" customFormat="1" ht="12.75">
      <c r="A155" s="99"/>
      <c r="B155" s="5"/>
      <c r="C155" s="5"/>
      <c r="D155" s="101"/>
      <c r="E155" s="102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s="93" customFormat="1" ht="12.75">
      <c r="A156" s="99"/>
      <c r="B156" s="5"/>
      <c r="C156" s="5"/>
      <c r="D156" s="101"/>
      <c r="E156" s="102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s="93" customFormat="1" ht="12.75">
      <c r="A157" s="99"/>
      <c r="B157" s="5"/>
      <c r="C157" s="5"/>
      <c r="D157" s="101"/>
      <c r="E157" s="102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s="93" customFormat="1" ht="12.75">
      <c r="A158" s="99"/>
      <c r="B158" s="5"/>
      <c r="C158" s="5"/>
      <c r="D158" s="101"/>
      <c r="E158" s="102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s="93" customFormat="1" ht="12.75">
      <c r="A159" s="99"/>
      <c r="B159" s="5"/>
      <c r="C159" s="5"/>
      <c r="D159" s="101"/>
      <c r="E159" s="102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s="93" customFormat="1" ht="12.75">
      <c r="A160" s="99"/>
      <c r="B160" s="5"/>
      <c r="C160" s="5"/>
      <c r="D160" s="101"/>
      <c r="E160" s="102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s="93" customFormat="1" ht="12.75">
      <c r="A161" s="99"/>
      <c r="B161" s="5"/>
      <c r="C161" s="5"/>
      <c r="D161" s="101"/>
      <c r="E161" s="102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s="93" customFormat="1" ht="12.75">
      <c r="A162" s="99"/>
      <c r="B162" s="5"/>
      <c r="C162" s="5"/>
      <c r="D162" s="101"/>
      <c r="E162" s="102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s="93" customFormat="1" ht="12.75">
      <c r="A163" s="99"/>
      <c r="B163" s="5"/>
      <c r="C163" s="5"/>
      <c r="D163" s="101"/>
      <c r="E163" s="102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s="93" customFormat="1" ht="12.75">
      <c r="A164" s="99"/>
      <c r="B164" s="5"/>
      <c r="C164" s="5"/>
      <c r="D164" s="101"/>
      <c r="E164" s="102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s="93" customFormat="1" ht="12.75">
      <c r="A165" s="99"/>
      <c r="B165" s="5"/>
      <c r="C165" s="5"/>
      <c r="D165" s="101"/>
      <c r="E165" s="102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s="93" customFormat="1" ht="12.75">
      <c r="A166" s="99"/>
      <c r="B166" s="5"/>
      <c r="C166" s="5"/>
      <c r="D166" s="101"/>
      <c r="E166" s="102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s="93" customFormat="1" ht="12.75">
      <c r="A167" s="99"/>
      <c r="B167" s="5"/>
      <c r="C167" s="5"/>
      <c r="D167" s="101"/>
      <c r="E167" s="102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s="93" customFormat="1" ht="12.75">
      <c r="A168" s="99"/>
      <c r="B168" s="5"/>
      <c r="C168" s="5"/>
      <c r="D168" s="101"/>
      <c r="E168" s="102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s="93" customFormat="1" ht="12.75">
      <c r="A169" s="99"/>
      <c r="B169" s="5"/>
      <c r="C169" s="5"/>
      <c r="D169" s="101"/>
      <c r="E169" s="102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s="93" customFormat="1" ht="12.75">
      <c r="A170" s="99"/>
      <c r="B170" s="5"/>
      <c r="C170" s="5"/>
      <c r="D170" s="101"/>
      <c r="E170" s="102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s="93" customFormat="1" ht="12.75">
      <c r="A171" s="99"/>
      <c r="B171" s="5"/>
      <c r="C171" s="5"/>
      <c r="D171" s="101"/>
      <c r="E171" s="102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s="93" customFormat="1" ht="12.75">
      <c r="A172" s="99"/>
      <c r="B172" s="5"/>
      <c r="C172" s="5"/>
      <c r="D172" s="101"/>
      <c r="E172" s="102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s="93" customFormat="1" ht="12.75">
      <c r="A173" s="99"/>
      <c r="B173" s="5"/>
      <c r="C173" s="5"/>
      <c r="D173" s="101"/>
      <c r="E173" s="102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s="93" customFormat="1" ht="12.75">
      <c r="A174" s="99"/>
      <c r="B174" s="5"/>
      <c r="C174" s="5"/>
      <c r="D174" s="101"/>
      <c r="E174" s="102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s="93" customFormat="1" ht="12.75">
      <c r="A175" s="99"/>
      <c r="B175" s="5"/>
      <c r="C175" s="5"/>
      <c r="D175" s="101"/>
      <c r="E175" s="102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s="93" customFormat="1" ht="12.75">
      <c r="A176" s="99"/>
      <c r="B176" s="5"/>
      <c r="C176" s="5"/>
      <c r="D176" s="101"/>
      <c r="E176" s="102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s="93" customFormat="1" ht="12.75">
      <c r="A177" s="99"/>
      <c r="B177" s="5"/>
      <c r="C177" s="5"/>
      <c r="D177" s="101"/>
      <c r="E177" s="102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s="93" customFormat="1" ht="12.75">
      <c r="A178" s="99"/>
      <c r="B178" s="5"/>
      <c r="C178" s="5"/>
      <c r="D178" s="101"/>
      <c r="E178" s="102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s="93" customFormat="1" ht="12.75">
      <c r="A179" s="99"/>
      <c r="B179" s="5"/>
      <c r="C179" s="5"/>
      <c r="D179" s="101"/>
      <c r="E179" s="102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s="93" customFormat="1" ht="12.75">
      <c r="A180" s="99"/>
      <c r="B180" s="5"/>
      <c r="C180" s="5"/>
      <c r="D180" s="101"/>
      <c r="E180" s="102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s="93" customFormat="1" ht="12.75">
      <c r="A181" s="99"/>
      <c r="B181" s="5"/>
      <c r="C181" s="5"/>
      <c r="D181" s="101"/>
      <c r="E181" s="102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s="93" customFormat="1" ht="12.75">
      <c r="A182" s="99"/>
      <c r="B182" s="5"/>
      <c r="C182" s="5"/>
      <c r="D182" s="101"/>
      <c r="E182" s="102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s="93" customFormat="1" ht="12.75">
      <c r="A183" s="99"/>
      <c r="B183" s="5"/>
      <c r="C183" s="5"/>
      <c r="D183" s="101"/>
      <c r="E183" s="102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s="93" customFormat="1" ht="12.75">
      <c r="A184" s="99"/>
      <c r="B184" s="5"/>
      <c r="C184" s="5"/>
      <c r="D184" s="101"/>
      <c r="E184" s="102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s="93" customFormat="1" ht="12.75">
      <c r="A185" s="99"/>
      <c r="B185" s="5"/>
      <c r="C185" s="5"/>
      <c r="D185" s="101"/>
      <c r="E185" s="102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s="93" customFormat="1" ht="12.75">
      <c r="A186" s="99"/>
      <c r="B186" s="5"/>
      <c r="C186" s="5"/>
      <c r="D186" s="101"/>
      <c r="E186" s="102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s="93" customFormat="1" ht="12.75">
      <c r="A187" s="99"/>
      <c r="B187" s="5"/>
      <c r="C187" s="5"/>
      <c r="D187" s="101"/>
      <c r="E187" s="102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s="93" customFormat="1" ht="12.75">
      <c r="A188" s="99"/>
      <c r="B188" s="5"/>
      <c r="C188" s="5"/>
      <c r="D188" s="101"/>
      <c r="E188" s="102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s="93" customFormat="1" ht="12.75">
      <c r="A189" s="99"/>
      <c r="B189" s="5"/>
      <c r="C189" s="5"/>
      <c r="D189" s="101"/>
      <c r="E189" s="102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s="93" customFormat="1" ht="12.75">
      <c r="A190" s="99"/>
      <c r="B190" s="5"/>
      <c r="C190" s="5"/>
      <c r="D190" s="101"/>
      <c r="E190" s="102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s="93" customFormat="1" ht="12.75">
      <c r="A191" s="99"/>
      <c r="B191" s="5"/>
      <c r="C191" s="5"/>
      <c r="D191" s="101"/>
      <c r="E191" s="102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s="93" customFormat="1" ht="12.75">
      <c r="A192" s="99"/>
      <c r="B192" s="5"/>
      <c r="C192" s="5"/>
      <c r="D192" s="101"/>
      <c r="E192" s="102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s="93" customFormat="1" ht="12.75">
      <c r="A193" s="99"/>
      <c r="B193" s="5"/>
      <c r="C193" s="5"/>
      <c r="D193" s="101"/>
      <c r="E193" s="102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s="93" customFormat="1" ht="12.75">
      <c r="A194" s="99"/>
      <c r="B194" s="5"/>
      <c r="C194" s="5"/>
      <c r="D194" s="101"/>
      <c r="E194" s="102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s="93" customFormat="1" ht="12.75">
      <c r="A195" s="99"/>
      <c r="B195" s="5"/>
      <c r="C195" s="5"/>
      <c r="D195" s="101"/>
      <c r="E195" s="102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s="93" customFormat="1" ht="12.75">
      <c r="A196" s="99"/>
      <c r="B196" s="5"/>
      <c r="C196" s="5"/>
      <c r="D196" s="101"/>
      <c r="E196" s="102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s="93" customFormat="1" ht="12.75">
      <c r="A197" s="99"/>
      <c r="B197" s="5"/>
      <c r="C197" s="5"/>
      <c r="D197" s="101"/>
      <c r="E197" s="102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s="93" customFormat="1" ht="12.75">
      <c r="A198" s="99"/>
      <c r="B198" s="5"/>
      <c r="C198" s="5"/>
      <c r="D198" s="101"/>
      <c r="E198" s="102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s="93" customFormat="1" ht="12.75">
      <c r="A199" s="99"/>
      <c r="B199" s="5"/>
      <c r="C199" s="5"/>
      <c r="D199" s="101"/>
      <c r="E199" s="102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</sheetData>
  <sheetProtection/>
  <mergeCells count="6">
    <mergeCell ref="A2:F2"/>
    <mergeCell ref="D3:D4"/>
    <mergeCell ref="E3:E4"/>
    <mergeCell ref="F3:F4"/>
    <mergeCell ref="B62:C62"/>
    <mergeCell ref="B72:C72"/>
  </mergeCells>
  <printOptions/>
  <pageMargins left="0.35433070866141736" right="0.15748031496062992" top="0.984251968503937" bottom="0.3937007874015748" header="0.5118110236220472" footer="0.5118110236220472"/>
  <pageSetup fitToHeight="4" fitToWidth="1" horizontalDpi="600" verticalDpi="600" orientation="portrait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7"/>
  <sheetViews>
    <sheetView zoomScale="130" zoomScaleNormal="130" zoomScalePageLayoutView="0" workbookViewId="0" topLeftCell="B1">
      <selection activeCell="L9" sqref="L9"/>
    </sheetView>
  </sheetViews>
  <sheetFormatPr defaultColWidth="9.140625" defaultRowHeight="15"/>
  <cols>
    <col min="1" max="1" width="6.28125" style="173" hidden="1" customWidth="1"/>
    <col min="2" max="2" width="4.421875" style="173" customWidth="1"/>
    <col min="3" max="3" width="51.421875" style="173" customWidth="1"/>
    <col min="4" max="4" width="3.57421875" style="173" customWidth="1"/>
    <col min="5" max="5" width="12.7109375" style="173" hidden="1" customWidth="1"/>
    <col min="6" max="6" width="10.57421875" style="173" customWidth="1"/>
    <col min="7" max="7" width="11.00390625" style="173" customWidth="1"/>
    <col min="8" max="8" width="10.421875" style="173" hidden="1" customWidth="1"/>
    <col min="9" max="9" width="6.140625" style="173" customWidth="1"/>
    <col min="10" max="16384" width="9.140625" style="173" customWidth="1"/>
  </cols>
  <sheetData>
    <row r="1" spans="3:5" ht="34.5" customHeight="1">
      <c r="C1" s="174" t="s">
        <v>106</v>
      </c>
      <c r="D1" s="174"/>
      <c r="E1" s="174"/>
    </row>
    <row r="2" spans="3:8" ht="18" customHeight="1">
      <c r="C2" s="175" t="s">
        <v>107</v>
      </c>
      <c r="D2" s="175"/>
      <c r="E2" s="175"/>
      <c r="F2" s="176"/>
      <c r="G2" s="176"/>
      <c r="H2" s="176" t="s">
        <v>108</v>
      </c>
    </row>
    <row r="3" spans="2:9" ht="44.25" customHeight="1">
      <c r="B3" s="177"/>
      <c r="C3" s="178"/>
      <c r="D3" s="178"/>
      <c r="E3" s="179" t="s">
        <v>109</v>
      </c>
      <c r="F3" s="179" t="s">
        <v>110</v>
      </c>
      <c r="G3" s="179" t="s">
        <v>111</v>
      </c>
      <c r="H3" s="180" t="s">
        <v>112</v>
      </c>
      <c r="I3" s="179" t="s">
        <v>113</v>
      </c>
    </row>
    <row r="4" spans="2:9" ht="12.75">
      <c r="B4" s="177"/>
      <c r="C4" s="181" t="s">
        <v>114</v>
      </c>
      <c r="D4" s="181"/>
      <c r="E4" s="182">
        <f>SUM(E6,E19)</f>
        <v>38431461</v>
      </c>
      <c r="F4" s="183">
        <f>SUM(F6,F19)</f>
        <v>45033046</v>
      </c>
      <c r="G4" s="183">
        <f>SUM(G6,G19)</f>
        <v>31053134.11</v>
      </c>
      <c r="H4" s="183">
        <f>SUM(H6,H19)</f>
        <v>5967233.3100000005</v>
      </c>
      <c r="I4" s="184">
        <f>ROUND(G4/F4*100,1)</f>
        <v>69</v>
      </c>
    </row>
    <row r="5" spans="2:9" ht="12.75">
      <c r="B5" s="177"/>
      <c r="C5" s="185"/>
      <c r="D5" s="186"/>
      <c r="E5" s="186"/>
      <c r="F5" s="186"/>
      <c r="H5" s="187"/>
      <c r="I5" s="184"/>
    </row>
    <row r="6" spans="2:9" ht="12.75">
      <c r="B6" s="177"/>
      <c r="C6" s="181" t="s">
        <v>115</v>
      </c>
      <c r="D6" s="181"/>
      <c r="E6" s="183">
        <f>SUM(E7:E16)</f>
        <v>32318167</v>
      </c>
      <c r="F6" s="183">
        <f>SUM(F7,F9,F10,F11,F12,F14,F16)</f>
        <v>38912041</v>
      </c>
      <c r="G6" s="183">
        <f>SUM(G7,G9,G10,G11,G12,G14,G16)</f>
        <v>24932136.990000002</v>
      </c>
      <c r="H6" s="183">
        <f>SUM(H7,H9,H10,H11,H12,H14,H16)</f>
        <v>5118370.210000001</v>
      </c>
      <c r="I6" s="184">
        <f aca="true" t="shared" si="0" ref="I6:I102">ROUND(G6/F6*100,1)</f>
        <v>64.1</v>
      </c>
    </row>
    <row r="7" spans="2:9" ht="27" customHeight="1">
      <c r="B7" s="177"/>
      <c r="C7" s="188" t="s">
        <v>87</v>
      </c>
      <c r="D7" s="188"/>
      <c r="E7" s="189">
        <f>SUM(E32,E47,E75,E168,E262)</f>
        <v>1500701</v>
      </c>
      <c r="F7" s="189">
        <f>SUM(F32,F47,F75,F168,F262,F278)</f>
        <v>1398543</v>
      </c>
      <c r="G7" s="189">
        <f>SUM(G32,G47,G75,G168,G262,G278)</f>
        <v>1355298.8</v>
      </c>
      <c r="H7" s="189">
        <f>SUM(H32,H47,H75,H168,H262,H278)</f>
        <v>55975.95</v>
      </c>
      <c r="I7" s="190">
        <f>ROUND(G7/F7*100,1)</f>
        <v>96.9</v>
      </c>
    </row>
    <row r="8" spans="2:9" ht="15" customHeight="1">
      <c r="B8" s="177"/>
      <c r="C8" s="191" t="s">
        <v>116</v>
      </c>
      <c r="D8" s="192" t="s">
        <v>117</v>
      </c>
      <c r="E8" s="189"/>
      <c r="F8" s="193">
        <f>SUM(F278)</f>
        <v>146000</v>
      </c>
      <c r="G8" s="193">
        <f>SUM(G278)</f>
        <v>146000</v>
      </c>
      <c r="H8" s="193">
        <f>SUM(H278)</f>
        <v>0</v>
      </c>
      <c r="I8" s="193">
        <f>SUM(I284)</f>
        <v>100</v>
      </c>
    </row>
    <row r="9" spans="1:9" ht="12.75">
      <c r="A9" s="194"/>
      <c r="B9" s="195"/>
      <c r="C9" s="196" t="s">
        <v>91</v>
      </c>
      <c r="D9" s="196"/>
      <c r="E9" s="197">
        <f>SUM(E43,E77,E165,E171)</f>
        <v>19911566</v>
      </c>
      <c r="F9" s="197">
        <f>SUM(F43,F77,F165,F171)</f>
        <v>21087466</v>
      </c>
      <c r="G9" s="197">
        <f>SUM(G43,G77,G165,G171)</f>
        <v>8435160.43</v>
      </c>
      <c r="H9" s="197">
        <f>SUM(H43,H77,H165,H171)</f>
        <v>1964330.03</v>
      </c>
      <c r="I9" s="190">
        <f t="shared" si="0"/>
        <v>40</v>
      </c>
    </row>
    <row r="10" spans="2:9" ht="12.75">
      <c r="B10" s="195"/>
      <c r="C10" s="196" t="s">
        <v>93</v>
      </c>
      <c r="D10" s="196"/>
      <c r="E10" s="197">
        <f>SUM(E147)</f>
        <v>294217</v>
      </c>
      <c r="F10" s="197">
        <f>SUM(F147,F265)</f>
        <v>459811</v>
      </c>
      <c r="G10" s="197">
        <f>SUM(G147)</f>
        <v>275269.58</v>
      </c>
      <c r="H10" s="197">
        <f>SUM(H147)</f>
        <v>24549.08</v>
      </c>
      <c r="I10" s="190">
        <f t="shared" si="0"/>
        <v>59.9</v>
      </c>
    </row>
    <row r="11" spans="1:9" ht="12.75">
      <c r="A11" s="194"/>
      <c r="B11" s="195"/>
      <c r="C11" s="196" t="s">
        <v>118</v>
      </c>
      <c r="D11" s="196"/>
      <c r="E11" s="197">
        <f>SUM(E153,E184)</f>
        <v>220130</v>
      </c>
      <c r="F11" s="197">
        <f>SUM(F153,F184)</f>
        <v>411454</v>
      </c>
      <c r="G11" s="197">
        <f>SUM(G153,G184)</f>
        <v>361752.88</v>
      </c>
      <c r="H11" s="197">
        <f>SUM(H153,H184)</f>
        <v>138425.64</v>
      </c>
      <c r="I11" s="190">
        <f t="shared" si="0"/>
        <v>87.9</v>
      </c>
    </row>
    <row r="12" spans="1:9" ht="12.75">
      <c r="A12" s="194"/>
      <c r="B12" s="195"/>
      <c r="C12" s="196" t="s">
        <v>119</v>
      </c>
      <c r="D12" s="196"/>
      <c r="E12" s="197">
        <f>SUM(E39,E61,E188,E267)</f>
        <v>751704</v>
      </c>
      <c r="F12" s="197">
        <f>SUM(F39,F61,F188,F267,F34)</f>
        <v>2383727</v>
      </c>
      <c r="G12" s="197">
        <f>SUM(G39,G61,G188,G267,G34)</f>
        <v>2689105.5</v>
      </c>
      <c r="H12" s="197">
        <f>SUM(H39,H61,H188,H267,H34)</f>
        <v>559727.5</v>
      </c>
      <c r="I12" s="190">
        <f t="shared" si="0"/>
        <v>112.8</v>
      </c>
    </row>
    <row r="13" spans="1:9" ht="12.75">
      <c r="A13" s="194"/>
      <c r="B13" s="195"/>
      <c r="C13" s="191" t="s">
        <v>116</v>
      </c>
      <c r="D13" s="192" t="s">
        <v>117</v>
      </c>
      <c r="E13" s="198"/>
      <c r="F13" s="198">
        <f>SUM(F193)</f>
        <v>70756</v>
      </c>
      <c r="G13" s="198">
        <f>SUM(G193)</f>
        <v>71449.3</v>
      </c>
      <c r="H13" s="198">
        <f>SUM(H193)</f>
        <v>693.5</v>
      </c>
      <c r="I13" s="199">
        <f t="shared" si="0"/>
        <v>101</v>
      </c>
    </row>
    <row r="14" spans="2:9" ht="12.75">
      <c r="B14" s="195"/>
      <c r="C14" s="196" t="s">
        <v>101</v>
      </c>
      <c r="D14" s="196"/>
      <c r="E14" s="197">
        <f>SUM(E51,E207,E271)</f>
        <v>9635667</v>
      </c>
      <c r="F14" s="197">
        <f>SUM(F51,F207,F271)</f>
        <v>12861759</v>
      </c>
      <c r="G14" s="197">
        <f>SUM(G51,G207,G271)</f>
        <v>11544020.57</v>
      </c>
      <c r="H14" s="197">
        <f>SUM(H51,H207,H271)</f>
        <v>2375115.0900000003</v>
      </c>
      <c r="I14" s="190">
        <f t="shared" si="0"/>
        <v>89.8</v>
      </c>
    </row>
    <row r="15" spans="2:9" ht="12.75">
      <c r="B15" s="195"/>
      <c r="C15" s="191" t="s">
        <v>116</v>
      </c>
      <c r="D15" s="200" t="s">
        <v>117</v>
      </c>
      <c r="E15" s="201"/>
      <c r="F15" s="201">
        <f>SUM(F209,F223,F228,F242,F251)</f>
        <v>4938827</v>
      </c>
      <c r="G15" s="201">
        <f>SUM(G209,G223,G228,G242,G251)</f>
        <v>5625224.86</v>
      </c>
      <c r="H15" s="201">
        <f>SUM(H209,H223,H228,H242,H251)</f>
        <v>1074599.6900000002</v>
      </c>
      <c r="I15" s="199">
        <f t="shared" si="0"/>
        <v>113.9</v>
      </c>
    </row>
    <row r="16" spans="2:9" ht="12.75">
      <c r="B16" s="195"/>
      <c r="C16" s="196" t="s">
        <v>103</v>
      </c>
      <c r="D16" s="196"/>
      <c r="E16" s="197">
        <f>SUM(E252)</f>
        <v>4182</v>
      </c>
      <c r="F16" s="197">
        <f>SUM(F252,F284,F279,F281)</f>
        <v>309281</v>
      </c>
      <c r="G16" s="197">
        <f>SUM(G252,G284,G279,G281)</f>
        <v>271529.23000000004</v>
      </c>
      <c r="H16" s="197">
        <f>SUM(H252,H284,H279,H281)</f>
        <v>246.92</v>
      </c>
      <c r="I16" s="190">
        <f t="shared" si="0"/>
        <v>87.8</v>
      </c>
    </row>
    <row r="17" spans="2:9" ht="12.75">
      <c r="B17" s="195"/>
      <c r="C17" s="191" t="s">
        <v>116</v>
      </c>
      <c r="D17" s="202" t="s">
        <v>117</v>
      </c>
      <c r="E17" s="203"/>
      <c r="F17" s="203">
        <f>SUM(F258,F284)</f>
        <v>181617</v>
      </c>
      <c r="G17" s="203">
        <f>SUM(G258,G284)</f>
        <v>181617</v>
      </c>
      <c r="H17" s="203">
        <f>SUM(H258,H284)</f>
        <v>0</v>
      </c>
      <c r="I17" s="204">
        <f t="shared" si="0"/>
        <v>100</v>
      </c>
    </row>
    <row r="18" spans="1:9" ht="12.75">
      <c r="A18" s="194"/>
      <c r="B18" s="195"/>
      <c r="C18" s="181" t="s">
        <v>120</v>
      </c>
      <c r="D18" s="181"/>
      <c r="E18" s="183">
        <f>SUM(E19)</f>
        <v>6113294</v>
      </c>
      <c r="F18" s="183">
        <f>SUM(F19)</f>
        <v>6121005</v>
      </c>
      <c r="G18" s="183">
        <f>SUM(G19)</f>
        <v>6120997.119999999</v>
      </c>
      <c r="H18" s="183">
        <f>SUM(H19)</f>
        <v>848863.1</v>
      </c>
      <c r="I18" s="184">
        <f t="shared" si="0"/>
        <v>100</v>
      </c>
    </row>
    <row r="19" spans="2:9" ht="12.75">
      <c r="B19" s="177"/>
      <c r="C19" s="188" t="s">
        <v>87</v>
      </c>
      <c r="D19" s="188"/>
      <c r="E19" s="205">
        <f>SUM(E303)</f>
        <v>6113294</v>
      </c>
      <c r="F19" s="205">
        <f>SUM(F303)</f>
        <v>6121005</v>
      </c>
      <c r="G19" s="205">
        <f>SUM(G303)</f>
        <v>6120997.119999999</v>
      </c>
      <c r="H19" s="205">
        <f>SUM(H303)</f>
        <v>848863.1</v>
      </c>
      <c r="I19" s="184">
        <f t="shared" si="0"/>
        <v>100</v>
      </c>
    </row>
    <row r="20" spans="3:9" ht="12.75">
      <c r="C20" s="206"/>
      <c r="D20" s="207"/>
      <c r="E20" s="207"/>
      <c r="F20" s="207"/>
      <c r="G20" s="208"/>
      <c r="H20" s="208"/>
      <c r="I20" s="209"/>
    </row>
    <row r="21" spans="3:9" ht="12.75">
      <c r="C21" s="210" t="s">
        <v>121</v>
      </c>
      <c r="D21" s="210"/>
      <c r="E21" s="210"/>
      <c r="F21" s="210"/>
      <c r="G21" s="211"/>
      <c r="H21" s="211"/>
      <c r="I21" s="212"/>
    </row>
    <row r="22" spans="3:9" ht="12.75">
      <c r="C22" s="213" t="s">
        <v>122</v>
      </c>
      <c r="D22" s="214" t="s">
        <v>117</v>
      </c>
      <c r="E22" s="215">
        <f>SUMIF($D$31:$D$274,$D$22,E$31:E$274)</f>
        <v>29706945</v>
      </c>
      <c r="F22" s="216">
        <f>SUMIF($D$31:$D$285,$D$22,F$31:F$285)</f>
        <v>35652261</v>
      </c>
      <c r="G22" s="216">
        <f>SUMIF($D$31:$D$285,$D$22,G$31:G$285)</f>
        <v>21721504.779999997</v>
      </c>
      <c r="H22" s="216">
        <f>SUMIF($D$31:$D$285,$D$22,H$31:H$285)</f>
        <v>5048153.66</v>
      </c>
      <c r="I22" s="190">
        <f t="shared" si="0"/>
        <v>60.9</v>
      </c>
    </row>
    <row r="23" spans="3:9" ht="12.75">
      <c r="C23" s="217" t="s">
        <v>123</v>
      </c>
      <c r="D23" s="218" t="s">
        <v>117</v>
      </c>
      <c r="E23" s="219">
        <f>SUM(E55,E56,E81,E86,E146,E152,E143,E174,E251)</f>
        <v>22111540</v>
      </c>
      <c r="F23" s="219">
        <f>SUM(F36,F37,F55,F56,F57,F81,F83,F86,F143,F146,F150,F152,F174,F191,F193,F198,F209,F220,F223,F228,F242,F251,F258)</f>
        <v>24996940</v>
      </c>
      <c r="G23" s="219">
        <f>SUM(G36,G37,G55,G56,G57,G81,G83,G86,G143,G146,G150,G152,G174,G191,G193,G198,G209,G220,G223,G228,G242,G251,G258)</f>
        <v>13286411.69</v>
      </c>
      <c r="H23" s="219">
        <f>SUM(H36,H37,H55,H56,H57,H81,H83,H86,H143,H146,H150,H152,H174,H191,H193,H198,H209,H220,H223,H228,H242,H251,H258)</f>
        <v>3528818.5500000003</v>
      </c>
      <c r="I23" s="220">
        <f t="shared" si="0"/>
        <v>53.2</v>
      </c>
    </row>
    <row r="24" spans="3:9" ht="12.75">
      <c r="C24" s="191" t="s">
        <v>116</v>
      </c>
      <c r="D24" s="221" t="s">
        <v>117</v>
      </c>
      <c r="E24" s="222"/>
      <c r="F24" s="222">
        <f>SUM(F193,F209,F223,F228,F242,F251,F258,F278,F284)</f>
        <v>5337200</v>
      </c>
      <c r="G24" s="222">
        <f>SUM(G193,G209,G223,G228,G242,G251,G258,F278,F284)</f>
        <v>6024291.16</v>
      </c>
      <c r="H24" s="222">
        <f>SUM(H193,H209,H223,H228,H242,H251,H258,H278,H284)</f>
        <v>1075293.1900000002</v>
      </c>
      <c r="I24" s="199">
        <f t="shared" si="0"/>
        <v>112.9</v>
      </c>
    </row>
    <row r="25" spans="3:9" ht="12.75">
      <c r="C25" s="213" t="s">
        <v>124</v>
      </c>
      <c r="D25" s="214" t="s">
        <v>125</v>
      </c>
      <c r="E25" s="215">
        <f>SUMIF($D$31:$D$274,$D$25,E$31:E$274)</f>
        <v>1136840</v>
      </c>
      <c r="F25" s="216">
        <f>SUMIF($D$31:$D$285,$D$25,F$31:F$285)</f>
        <v>2033556</v>
      </c>
      <c r="G25" s="216">
        <f>SUMIF($D$31:$D$285,$D$25,G$31:G$285)</f>
        <v>2026253.74</v>
      </c>
      <c r="H25" s="216">
        <f>SUMIF($D$31:$D$285,$D$25,H$31:H$285)</f>
        <v>19550.6</v>
      </c>
      <c r="I25" s="190">
        <f t="shared" si="0"/>
        <v>99.6</v>
      </c>
    </row>
    <row r="26" spans="3:9" ht="12.75">
      <c r="C26" s="188" t="s">
        <v>126</v>
      </c>
      <c r="D26" s="214" t="s">
        <v>127</v>
      </c>
      <c r="E26" s="215">
        <f>SUMIF($D$31:$D$274,$D$26,E$31:E$274)</f>
        <v>1474382</v>
      </c>
      <c r="F26" s="216">
        <f>SUMIF($D$31:$D$274,$D$26,F$31:F$279)</f>
        <v>1226224</v>
      </c>
      <c r="G26" s="216">
        <f>SUMIF($D$31:$D$274,$D$26,G$31:G$274)</f>
        <v>1184378.47</v>
      </c>
      <c r="H26" s="216">
        <f>SUMIF($D$31:$D$274,$D$26,H$31:H$274)</f>
        <v>50665.95</v>
      </c>
      <c r="I26" s="190">
        <f t="shared" si="0"/>
        <v>96.6</v>
      </c>
    </row>
    <row r="27" spans="3:9" ht="12.75">
      <c r="C27" s="223"/>
      <c r="D27" s="224"/>
      <c r="E27" s="224"/>
      <c r="I27" s="225"/>
    </row>
    <row r="28" spans="3:9" ht="12.75">
      <c r="C28" s="174" t="s">
        <v>128</v>
      </c>
      <c r="D28" s="174"/>
      <c r="E28" s="174"/>
      <c r="I28" s="225"/>
    </row>
    <row r="29" spans="3:9" ht="12.75">
      <c r="C29" s="174"/>
      <c r="D29" s="174"/>
      <c r="E29" s="174"/>
      <c r="I29" s="225"/>
    </row>
    <row r="30" spans="2:9" ht="33.75">
      <c r="B30" s="226"/>
      <c r="C30" s="178"/>
      <c r="D30" s="178"/>
      <c r="E30" s="179" t="s">
        <v>109</v>
      </c>
      <c r="F30" s="179" t="s">
        <v>110</v>
      </c>
      <c r="G30" s="179" t="s">
        <v>111</v>
      </c>
      <c r="H30" s="180" t="s">
        <v>129</v>
      </c>
      <c r="I30" s="227" t="s">
        <v>113</v>
      </c>
    </row>
    <row r="31" spans="2:9" ht="12.75">
      <c r="B31" s="228"/>
      <c r="C31" s="181" t="s">
        <v>130</v>
      </c>
      <c r="D31" s="229"/>
      <c r="E31" s="230">
        <f aca="true" t="shared" si="1" ref="E31:H32">SUM(E32)</f>
        <v>18432</v>
      </c>
      <c r="F31" s="230">
        <f>SUM(F32,F35)</f>
        <v>18432</v>
      </c>
      <c r="G31" s="230">
        <f>SUM(G32,G35)</f>
        <v>39224.56</v>
      </c>
      <c r="H31" s="230">
        <f>SUM(H32,H35)</f>
        <v>5310</v>
      </c>
      <c r="I31" s="231">
        <f t="shared" si="0"/>
        <v>212.8</v>
      </c>
    </row>
    <row r="32" spans="1:9" ht="21" customHeight="1">
      <c r="A32" s="232" t="s">
        <v>131</v>
      </c>
      <c r="B32" s="232"/>
      <c r="C32" s="181" t="s">
        <v>87</v>
      </c>
      <c r="D32" s="229"/>
      <c r="E32" s="183">
        <f t="shared" si="1"/>
        <v>18432</v>
      </c>
      <c r="F32" s="183">
        <f t="shared" si="1"/>
        <v>18432</v>
      </c>
      <c r="G32" s="183">
        <f t="shared" si="1"/>
        <v>17034</v>
      </c>
      <c r="H32" s="183">
        <f t="shared" si="1"/>
        <v>5310</v>
      </c>
      <c r="I32" s="184">
        <f t="shared" si="0"/>
        <v>92.4</v>
      </c>
    </row>
    <row r="33" spans="1:9" ht="12.75">
      <c r="A33" s="232" t="s">
        <v>132</v>
      </c>
      <c r="B33" s="232"/>
      <c r="C33" s="180" t="s">
        <v>133</v>
      </c>
      <c r="D33" s="196" t="s">
        <v>117</v>
      </c>
      <c r="E33" s="183">
        <v>18432</v>
      </c>
      <c r="F33" s="233">
        <v>18432</v>
      </c>
      <c r="G33" s="233">
        <v>17034</v>
      </c>
      <c r="H33" s="233">
        <v>5310</v>
      </c>
      <c r="I33" s="190">
        <f t="shared" si="0"/>
        <v>92.4</v>
      </c>
    </row>
    <row r="34" spans="1:9" ht="12.75">
      <c r="A34" s="232"/>
      <c r="B34" s="232"/>
      <c r="C34" s="181" t="s">
        <v>119</v>
      </c>
      <c r="D34" s="196"/>
      <c r="E34" s="183"/>
      <c r="F34" s="183"/>
      <c r="G34" s="183">
        <f>SUM(G35)</f>
        <v>22190.559999999998</v>
      </c>
      <c r="H34" s="183">
        <f>SUM(H35)</f>
        <v>0</v>
      </c>
      <c r="I34" s="190" t="e">
        <f t="shared" si="0"/>
        <v>#DIV/0!</v>
      </c>
    </row>
    <row r="35" spans="1:9" ht="12.75">
      <c r="A35" s="232"/>
      <c r="B35" s="232"/>
      <c r="C35" s="234" t="s">
        <v>134</v>
      </c>
      <c r="D35" s="196"/>
      <c r="E35" s="183"/>
      <c r="F35" s="183"/>
      <c r="G35" s="183">
        <f>SUM(G36,G37)</f>
        <v>22190.559999999998</v>
      </c>
      <c r="H35" s="233">
        <f>SUM(H36,H37)</f>
        <v>0</v>
      </c>
      <c r="I35" s="190" t="e">
        <f t="shared" si="0"/>
        <v>#DIV/0!</v>
      </c>
    </row>
    <row r="36" spans="1:9" ht="12.75">
      <c r="A36" s="232"/>
      <c r="B36" s="232" t="s">
        <v>135</v>
      </c>
      <c r="C36" s="180" t="s">
        <v>136</v>
      </c>
      <c r="D36" s="196" t="s">
        <v>117</v>
      </c>
      <c r="E36" s="183"/>
      <c r="F36" s="183"/>
      <c r="G36" s="233">
        <v>16360.96</v>
      </c>
      <c r="H36" s="233"/>
      <c r="I36" s="184" t="e">
        <f t="shared" si="0"/>
        <v>#DIV/0!</v>
      </c>
    </row>
    <row r="37" spans="1:9" ht="12.75">
      <c r="A37" s="232"/>
      <c r="B37" s="232" t="s">
        <v>135</v>
      </c>
      <c r="C37" s="180" t="s">
        <v>137</v>
      </c>
      <c r="D37" s="196" t="s">
        <v>117</v>
      </c>
      <c r="E37" s="183"/>
      <c r="F37" s="183"/>
      <c r="G37" s="233">
        <v>5829.6</v>
      </c>
      <c r="H37" s="233"/>
      <c r="I37" s="184" t="e">
        <f t="shared" si="0"/>
        <v>#DIV/0!</v>
      </c>
    </row>
    <row r="38" spans="1:9" ht="12.75">
      <c r="A38" s="232"/>
      <c r="B38" s="232"/>
      <c r="C38" s="181" t="s">
        <v>138</v>
      </c>
      <c r="D38" s="229"/>
      <c r="E38" s="183">
        <f aca="true" t="shared" si="2" ref="E38:H40">SUM(E39)</f>
        <v>30000</v>
      </c>
      <c r="F38" s="183">
        <f t="shared" si="2"/>
        <v>30000</v>
      </c>
      <c r="G38" s="183">
        <f t="shared" si="2"/>
        <v>23474</v>
      </c>
      <c r="H38" s="183">
        <f t="shared" si="2"/>
        <v>14266.31</v>
      </c>
      <c r="I38" s="184">
        <f t="shared" si="0"/>
        <v>78.2</v>
      </c>
    </row>
    <row r="39" spans="1:9" ht="12.75">
      <c r="A39" s="232"/>
      <c r="B39" s="232"/>
      <c r="C39" s="181" t="s">
        <v>119</v>
      </c>
      <c r="D39" s="229"/>
      <c r="E39" s="183">
        <f t="shared" si="2"/>
        <v>30000</v>
      </c>
      <c r="F39" s="183">
        <f t="shared" si="2"/>
        <v>30000</v>
      </c>
      <c r="G39" s="183">
        <f t="shared" si="2"/>
        <v>23474</v>
      </c>
      <c r="H39" s="183">
        <f t="shared" si="2"/>
        <v>14266.31</v>
      </c>
      <c r="I39" s="184">
        <f t="shared" si="0"/>
        <v>78.2</v>
      </c>
    </row>
    <row r="40" spans="1:9" ht="12.75">
      <c r="A40" s="232"/>
      <c r="B40" s="232"/>
      <c r="C40" s="234" t="s">
        <v>139</v>
      </c>
      <c r="D40" s="234"/>
      <c r="E40" s="183">
        <f t="shared" si="2"/>
        <v>30000</v>
      </c>
      <c r="F40" s="183">
        <f t="shared" si="2"/>
        <v>30000</v>
      </c>
      <c r="G40" s="183">
        <f t="shared" si="2"/>
        <v>23474</v>
      </c>
      <c r="H40" s="183">
        <f t="shared" si="2"/>
        <v>14266.31</v>
      </c>
      <c r="I40" s="184">
        <f t="shared" si="0"/>
        <v>78.2</v>
      </c>
    </row>
    <row r="41" spans="1:9" ht="12.75">
      <c r="A41" s="232"/>
      <c r="B41" s="232"/>
      <c r="C41" s="180" t="s">
        <v>140</v>
      </c>
      <c r="D41" s="180" t="s">
        <v>125</v>
      </c>
      <c r="E41" s="233">
        <v>30000</v>
      </c>
      <c r="F41" s="233">
        <v>30000</v>
      </c>
      <c r="G41" s="233">
        <v>23474</v>
      </c>
      <c r="H41" s="233">
        <v>14266.31</v>
      </c>
      <c r="I41" s="190">
        <f t="shared" si="0"/>
        <v>78.2</v>
      </c>
    </row>
    <row r="42" spans="1:9" ht="12.75">
      <c r="A42" s="232"/>
      <c r="B42" s="232"/>
      <c r="C42" s="181" t="s">
        <v>141</v>
      </c>
      <c r="D42" s="229"/>
      <c r="E42" s="183">
        <f aca="true" t="shared" si="3" ref="E42:H44">SUM(E43)</f>
        <v>63912</v>
      </c>
      <c r="F42" s="183">
        <f t="shared" si="3"/>
        <v>63912</v>
      </c>
      <c r="G42" s="183">
        <f t="shared" si="3"/>
        <v>63912</v>
      </c>
      <c r="H42" s="183">
        <f t="shared" si="3"/>
        <v>0</v>
      </c>
      <c r="I42" s="184">
        <f t="shared" si="0"/>
        <v>100</v>
      </c>
    </row>
    <row r="43" spans="1:9" ht="12.75">
      <c r="A43" s="232"/>
      <c r="B43" s="232"/>
      <c r="C43" s="181" t="s">
        <v>91</v>
      </c>
      <c r="D43" s="229"/>
      <c r="E43" s="183">
        <f t="shared" si="3"/>
        <v>63912</v>
      </c>
      <c r="F43" s="183">
        <f t="shared" si="3"/>
        <v>63912</v>
      </c>
      <c r="G43" s="183">
        <f t="shared" si="3"/>
        <v>63912</v>
      </c>
      <c r="H43" s="183">
        <f t="shared" si="3"/>
        <v>0</v>
      </c>
      <c r="I43" s="184">
        <f t="shared" si="0"/>
        <v>100</v>
      </c>
    </row>
    <row r="44" spans="1:9" ht="12.75">
      <c r="A44" s="232"/>
      <c r="B44" s="232"/>
      <c r="C44" s="234" t="s">
        <v>142</v>
      </c>
      <c r="D44" s="234"/>
      <c r="E44" s="183">
        <f t="shared" si="3"/>
        <v>63912</v>
      </c>
      <c r="F44" s="183">
        <f t="shared" si="3"/>
        <v>63912</v>
      </c>
      <c r="G44" s="183">
        <f t="shared" si="3"/>
        <v>63912</v>
      </c>
      <c r="H44" s="183">
        <f t="shared" si="3"/>
        <v>0</v>
      </c>
      <c r="I44" s="184">
        <f t="shared" si="0"/>
        <v>100</v>
      </c>
    </row>
    <row r="45" spans="1:9" ht="14.25" customHeight="1">
      <c r="A45" s="232"/>
      <c r="B45" s="232"/>
      <c r="C45" s="235" t="s">
        <v>143</v>
      </c>
      <c r="D45" s="235" t="s">
        <v>125</v>
      </c>
      <c r="E45" s="233">
        <v>63912</v>
      </c>
      <c r="F45" s="233">
        <v>63912</v>
      </c>
      <c r="G45" s="233">
        <v>63912</v>
      </c>
      <c r="H45" s="233"/>
      <c r="I45" s="190">
        <f t="shared" si="0"/>
        <v>100</v>
      </c>
    </row>
    <row r="46" spans="1:9" ht="12.75">
      <c r="A46" s="232"/>
      <c r="B46" s="232"/>
      <c r="C46" s="181" t="s">
        <v>144</v>
      </c>
      <c r="D46" s="229"/>
      <c r="E46" s="183">
        <f>SUM(E47,E51)</f>
        <v>2489826</v>
      </c>
      <c r="F46" s="183">
        <f>SUM(F47,F51)</f>
        <v>4739668</v>
      </c>
      <c r="G46" s="183">
        <f>SUM(G47,G51)</f>
        <v>3369742.9099999997</v>
      </c>
      <c r="H46" s="183">
        <f>SUM(H47,H51)</f>
        <v>456782.51</v>
      </c>
      <c r="I46" s="184">
        <f t="shared" si="0"/>
        <v>71.1</v>
      </c>
    </row>
    <row r="47" spans="1:9" ht="12.75">
      <c r="A47" s="232" t="s">
        <v>145</v>
      </c>
      <c r="B47" s="232"/>
      <c r="C47" s="181" t="s">
        <v>87</v>
      </c>
      <c r="D47" s="229"/>
      <c r="E47" s="183">
        <f aca="true" t="shared" si="4" ref="E47:H48">SUM(E48)</f>
        <v>346713</v>
      </c>
      <c r="F47" s="183">
        <f t="shared" si="4"/>
        <v>348555</v>
      </c>
      <c r="G47" s="183">
        <f t="shared" si="4"/>
        <v>348503.21</v>
      </c>
      <c r="H47" s="183">
        <f t="shared" si="4"/>
        <v>28666.81</v>
      </c>
      <c r="I47" s="184">
        <f t="shared" si="0"/>
        <v>100</v>
      </c>
    </row>
    <row r="48" spans="1:9" ht="12.75">
      <c r="A48" s="232"/>
      <c r="B48" s="232"/>
      <c r="C48" s="234" t="s">
        <v>146</v>
      </c>
      <c r="D48" s="180"/>
      <c r="E48" s="183">
        <f t="shared" si="4"/>
        <v>346713</v>
      </c>
      <c r="F48" s="183">
        <f>SUM(F49:F50)</f>
        <v>348555</v>
      </c>
      <c r="G48" s="183">
        <f>SUM(G49:G50)</f>
        <v>348503.21</v>
      </c>
      <c r="H48" s="183">
        <f>SUM(H49:H50)</f>
        <v>28666.81</v>
      </c>
      <c r="I48" s="184">
        <f t="shared" si="0"/>
        <v>100</v>
      </c>
    </row>
    <row r="49" spans="1:9" ht="21.75" customHeight="1">
      <c r="A49" s="232"/>
      <c r="B49" s="232"/>
      <c r="C49" s="235" t="s">
        <v>147</v>
      </c>
      <c r="D49" s="180" t="s">
        <v>127</v>
      </c>
      <c r="E49" s="233">
        <f>299876+46837</f>
        <v>346713</v>
      </c>
      <c r="F49" s="216">
        <f>299876+46837</f>
        <v>346713</v>
      </c>
      <c r="G49" s="233">
        <v>346712.81</v>
      </c>
      <c r="H49" s="216">
        <v>28497.81</v>
      </c>
      <c r="I49" s="190">
        <f t="shared" si="0"/>
        <v>100</v>
      </c>
    </row>
    <row r="50" spans="1:9" ht="15" customHeight="1">
      <c r="A50" s="232"/>
      <c r="B50" s="232"/>
      <c r="C50" s="235" t="s">
        <v>148</v>
      </c>
      <c r="D50" s="180" t="s">
        <v>127</v>
      </c>
      <c r="E50" s="233"/>
      <c r="F50" s="233">
        <f>1742+100</f>
        <v>1842</v>
      </c>
      <c r="G50" s="233">
        <v>1790.4</v>
      </c>
      <c r="H50" s="233">
        <v>169</v>
      </c>
      <c r="I50" s="190">
        <f t="shared" si="0"/>
        <v>97.2</v>
      </c>
    </row>
    <row r="51" spans="1:9" ht="12.75">
      <c r="A51" s="232"/>
      <c r="B51" s="232"/>
      <c r="C51" s="181" t="s">
        <v>149</v>
      </c>
      <c r="D51" s="181"/>
      <c r="E51" s="233">
        <f>SUM(E52,E54)</f>
        <v>2143113</v>
      </c>
      <c r="F51" s="183">
        <f>SUM(F52,F54,F58)</f>
        <v>4391113</v>
      </c>
      <c r="G51" s="183">
        <f>SUM(G52,G54,G58)</f>
        <v>3021239.6999999997</v>
      </c>
      <c r="H51" s="183">
        <f>SUM(H52,H54,H58)</f>
        <v>428115.7</v>
      </c>
      <c r="I51" s="184">
        <f t="shared" si="0"/>
        <v>68.8</v>
      </c>
    </row>
    <row r="52" spans="1:9" ht="12.75">
      <c r="A52" s="232"/>
      <c r="B52" s="232"/>
      <c r="C52" s="234" t="s">
        <v>150</v>
      </c>
      <c r="D52" s="234"/>
      <c r="E52" s="236">
        <f>SUM(E53)</f>
        <v>57520</v>
      </c>
      <c r="F52" s="236">
        <f>SUM(F53)</f>
        <v>86280</v>
      </c>
      <c r="G52" s="236">
        <f>SUM(G53)</f>
        <v>86280</v>
      </c>
      <c r="H52" s="236"/>
      <c r="I52" s="184">
        <f t="shared" si="0"/>
        <v>100</v>
      </c>
    </row>
    <row r="53" spans="1:9" ht="14.25" customHeight="1">
      <c r="A53" s="232" t="s">
        <v>151</v>
      </c>
      <c r="B53" s="232"/>
      <c r="C53" s="180" t="s">
        <v>152</v>
      </c>
      <c r="D53" s="235" t="s">
        <v>125</v>
      </c>
      <c r="E53" s="233">
        <v>57520</v>
      </c>
      <c r="F53" s="233">
        <f>57520+28760</f>
        <v>86280</v>
      </c>
      <c r="G53" s="233">
        <v>86280</v>
      </c>
      <c r="H53" s="233"/>
      <c r="I53" s="190">
        <f t="shared" si="0"/>
        <v>100</v>
      </c>
    </row>
    <row r="54" spans="1:9" ht="12.75">
      <c r="A54" s="232"/>
      <c r="B54" s="232"/>
      <c r="C54" s="234" t="s">
        <v>153</v>
      </c>
      <c r="D54" s="234"/>
      <c r="E54" s="183">
        <f>SUM(E55:E56)</f>
        <v>2085593</v>
      </c>
      <c r="F54" s="183">
        <f>SUM(F55:F57)</f>
        <v>4294233</v>
      </c>
      <c r="G54" s="183">
        <f>SUM(G55:G57)</f>
        <v>2924359.6999999997</v>
      </c>
      <c r="H54" s="183">
        <f>SUM(H55:H57)</f>
        <v>428115.7</v>
      </c>
      <c r="I54" s="184">
        <f t="shared" si="0"/>
        <v>68.1</v>
      </c>
    </row>
    <row r="55" spans="1:9" ht="12.75">
      <c r="A55" s="232"/>
      <c r="B55" s="232" t="s">
        <v>135</v>
      </c>
      <c r="C55" s="180" t="s">
        <v>154</v>
      </c>
      <c r="D55" s="180" t="s">
        <v>117</v>
      </c>
      <c r="E55" s="233">
        <v>1914818</v>
      </c>
      <c r="F55" s="233">
        <f>1914818+1728367</f>
        <v>3643185</v>
      </c>
      <c r="G55" s="233">
        <v>2528535.5</v>
      </c>
      <c r="H55" s="233">
        <v>248085.3</v>
      </c>
      <c r="I55" s="190">
        <f t="shared" si="0"/>
        <v>69.4</v>
      </c>
    </row>
    <row r="56" spans="1:9" ht="12.75">
      <c r="A56" s="232"/>
      <c r="B56" s="232" t="s">
        <v>135</v>
      </c>
      <c r="C56" s="180" t="s">
        <v>155</v>
      </c>
      <c r="D56" s="180" t="s">
        <v>117</v>
      </c>
      <c r="E56" s="233">
        <v>170775</v>
      </c>
      <c r="F56" s="216">
        <f>170775+11276+91288+55000</f>
        <v>328339</v>
      </c>
      <c r="G56" s="233">
        <v>228783.8</v>
      </c>
      <c r="H56" s="233">
        <v>40812.2</v>
      </c>
      <c r="I56" s="190">
        <f t="shared" si="0"/>
        <v>69.7</v>
      </c>
    </row>
    <row r="57" spans="1:9" ht="12.75">
      <c r="A57" s="232"/>
      <c r="B57" s="232" t="s">
        <v>156</v>
      </c>
      <c r="C57" s="180" t="s">
        <v>157</v>
      </c>
      <c r="D57" s="180" t="s">
        <v>117</v>
      </c>
      <c r="E57" s="233"/>
      <c r="F57" s="216">
        <f>314563+8146</f>
        <v>322709</v>
      </c>
      <c r="G57" s="233">
        <v>167040.4</v>
      </c>
      <c r="H57" s="233">
        <v>139218.2</v>
      </c>
      <c r="I57" s="190">
        <f t="shared" si="0"/>
        <v>51.8</v>
      </c>
    </row>
    <row r="58" spans="1:9" ht="12.75">
      <c r="A58" s="232"/>
      <c r="B58" s="232"/>
      <c r="C58" s="234" t="s">
        <v>158</v>
      </c>
      <c r="D58" s="234"/>
      <c r="E58" s="236"/>
      <c r="F58" s="237">
        <f>SUM(F59)</f>
        <v>10600</v>
      </c>
      <c r="G58" s="237">
        <f>SUM(G59)</f>
        <v>10600</v>
      </c>
      <c r="H58" s="237"/>
      <c r="I58" s="190">
        <f t="shared" si="0"/>
        <v>100</v>
      </c>
    </row>
    <row r="59" spans="1:9" ht="12.75">
      <c r="A59" s="232"/>
      <c r="B59" s="232"/>
      <c r="C59" s="180" t="s">
        <v>159</v>
      </c>
      <c r="D59" s="180" t="s">
        <v>117</v>
      </c>
      <c r="E59" s="233"/>
      <c r="F59" s="216">
        <f>5500+5100</f>
        <v>10600</v>
      </c>
      <c r="G59" s="233">
        <v>10600</v>
      </c>
      <c r="H59" s="233"/>
      <c r="I59" s="190">
        <f t="shared" si="0"/>
        <v>100</v>
      </c>
    </row>
    <row r="60" spans="1:9" ht="12.75">
      <c r="A60" s="232"/>
      <c r="B60" s="232"/>
      <c r="C60" s="181" t="s">
        <v>160</v>
      </c>
      <c r="D60" s="229"/>
      <c r="E60" s="183">
        <f>SUM(E61)</f>
        <v>17515</v>
      </c>
      <c r="F60" s="183">
        <f>SUM(F61)</f>
        <v>43798</v>
      </c>
      <c r="G60" s="183">
        <f>SUM(G61)</f>
        <v>43350.8</v>
      </c>
      <c r="H60" s="183">
        <f>SUM(H61)</f>
        <v>4600</v>
      </c>
      <c r="I60" s="184">
        <f t="shared" si="0"/>
        <v>99</v>
      </c>
    </row>
    <row r="61" spans="1:9" ht="12.75">
      <c r="A61" s="232"/>
      <c r="B61" s="232"/>
      <c r="C61" s="181" t="s">
        <v>161</v>
      </c>
      <c r="D61" s="229"/>
      <c r="E61" s="183">
        <f>SUM(E62,E70,E72)</f>
        <v>17515</v>
      </c>
      <c r="F61" s="183">
        <f>SUM(F62,F66,F68,F70,F72)</f>
        <v>43798</v>
      </c>
      <c r="G61" s="183">
        <f>SUM(G62,G66,G68,G70,G72)</f>
        <v>43350.8</v>
      </c>
      <c r="H61" s="183">
        <f>SUM(H62,H66,H68,H70,H72)</f>
        <v>4600</v>
      </c>
      <c r="I61" s="184">
        <f t="shared" si="0"/>
        <v>99</v>
      </c>
    </row>
    <row r="62" spans="1:9" ht="12.75">
      <c r="A62" s="232"/>
      <c r="B62" s="232"/>
      <c r="C62" s="238" t="s">
        <v>162</v>
      </c>
      <c r="D62" s="238"/>
      <c r="E62" s="183">
        <f>SUM(E63)</f>
        <v>3000</v>
      </c>
      <c r="F62" s="183">
        <f>SUM(F63:F65)</f>
        <v>13323</v>
      </c>
      <c r="G62" s="183">
        <f>SUM(G63:G65)</f>
        <v>13323</v>
      </c>
      <c r="H62" s="183"/>
      <c r="I62" s="184">
        <f t="shared" si="0"/>
        <v>100</v>
      </c>
    </row>
    <row r="63" spans="1:9" ht="12.75" customHeight="1">
      <c r="A63" s="232"/>
      <c r="B63" s="232"/>
      <c r="C63" s="235" t="s">
        <v>163</v>
      </c>
      <c r="D63" s="235" t="s">
        <v>125</v>
      </c>
      <c r="E63" s="233">
        <v>3000</v>
      </c>
      <c r="F63" s="233">
        <v>3000</v>
      </c>
      <c r="G63" s="233">
        <v>3000</v>
      </c>
      <c r="H63" s="233"/>
      <c r="I63" s="190">
        <f t="shared" si="0"/>
        <v>100</v>
      </c>
    </row>
    <row r="64" spans="1:9" ht="16.5" customHeight="1">
      <c r="A64" s="232"/>
      <c r="B64" s="232"/>
      <c r="C64" s="235" t="s">
        <v>164</v>
      </c>
      <c r="D64" s="235" t="s">
        <v>125</v>
      </c>
      <c r="E64" s="233"/>
      <c r="F64" s="233">
        <v>5000</v>
      </c>
      <c r="G64" s="233">
        <v>5000</v>
      </c>
      <c r="H64" s="233"/>
      <c r="I64" s="190">
        <f t="shared" si="0"/>
        <v>100</v>
      </c>
    </row>
    <row r="65" spans="1:9" ht="22.5">
      <c r="A65" s="232"/>
      <c r="B65" s="232"/>
      <c r="C65" s="235" t="s">
        <v>165</v>
      </c>
      <c r="D65" s="235" t="s">
        <v>125</v>
      </c>
      <c r="E65" s="233"/>
      <c r="F65" s="233">
        <v>5323</v>
      </c>
      <c r="G65" s="233">
        <v>5323</v>
      </c>
      <c r="H65" s="233"/>
      <c r="I65" s="190">
        <f t="shared" si="0"/>
        <v>100</v>
      </c>
    </row>
    <row r="66" spans="1:9" ht="12.75">
      <c r="A66" s="232"/>
      <c r="B66" s="232"/>
      <c r="C66" s="238" t="s">
        <v>166</v>
      </c>
      <c r="D66" s="235"/>
      <c r="E66" s="233"/>
      <c r="F66" s="183">
        <f>SUM(F67)</f>
        <v>7860</v>
      </c>
      <c r="G66" s="183">
        <f>SUM(G67)</f>
        <v>7860</v>
      </c>
      <c r="H66" s="183">
        <f>SUM(H67)</f>
        <v>0</v>
      </c>
      <c r="I66" s="183">
        <f>SUM(I67)</f>
        <v>100</v>
      </c>
    </row>
    <row r="67" spans="1:9" ht="14.25" customHeight="1">
      <c r="A67" s="232"/>
      <c r="B67" s="232"/>
      <c r="C67" s="235" t="s">
        <v>167</v>
      </c>
      <c r="D67" s="235" t="s">
        <v>125</v>
      </c>
      <c r="E67" s="233"/>
      <c r="F67" s="233">
        <v>7860</v>
      </c>
      <c r="G67" s="233">
        <v>7860</v>
      </c>
      <c r="H67" s="233"/>
      <c r="I67" s="190">
        <f t="shared" si="0"/>
        <v>100</v>
      </c>
    </row>
    <row r="68" spans="1:9" ht="12.75">
      <c r="A68" s="232"/>
      <c r="B68" s="232"/>
      <c r="C68" s="238" t="s">
        <v>168</v>
      </c>
      <c r="D68" s="235"/>
      <c r="E68" s="233"/>
      <c r="F68" s="183">
        <f>SUM(F69)</f>
        <v>8100</v>
      </c>
      <c r="G68" s="183">
        <f>SUM(G69)</f>
        <v>8100</v>
      </c>
      <c r="H68" s="183">
        <f>SUM(H69)</f>
        <v>4600</v>
      </c>
      <c r="I68" s="184">
        <f t="shared" si="0"/>
        <v>100</v>
      </c>
    </row>
    <row r="69" spans="1:9" ht="12.75" customHeight="1">
      <c r="A69" s="232"/>
      <c r="B69" s="232"/>
      <c r="C69" s="235" t="s">
        <v>169</v>
      </c>
      <c r="D69" s="235" t="s">
        <v>125</v>
      </c>
      <c r="E69" s="233"/>
      <c r="F69" s="233">
        <f>3500+4600</f>
        <v>8100</v>
      </c>
      <c r="G69" s="233">
        <v>8100</v>
      </c>
      <c r="H69" s="233">
        <v>4600</v>
      </c>
      <c r="I69" s="190">
        <f t="shared" si="0"/>
        <v>100</v>
      </c>
    </row>
    <row r="70" spans="1:9" ht="18.75" customHeight="1">
      <c r="A70" s="232"/>
      <c r="B70" s="232"/>
      <c r="C70" s="234" t="s">
        <v>170</v>
      </c>
      <c r="D70" s="234"/>
      <c r="E70" s="183">
        <f>SUM(E71)</f>
        <v>5000</v>
      </c>
      <c r="F70" s="183">
        <f>SUM(F71)</f>
        <v>5000</v>
      </c>
      <c r="G70" s="183">
        <f>SUM(G71)</f>
        <v>5000</v>
      </c>
      <c r="H70" s="183"/>
      <c r="I70" s="184">
        <f t="shared" si="0"/>
        <v>100</v>
      </c>
    </row>
    <row r="71" spans="1:9" ht="13.5" customHeight="1">
      <c r="A71" s="232"/>
      <c r="B71" s="232"/>
      <c r="C71" s="235" t="s">
        <v>171</v>
      </c>
      <c r="D71" s="235" t="s">
        <v>117</v>
      </c>
      <c r="E71" s="233">
        <v>5000</v>
      </c>
      <c r="F71" s="233">
        <v>5000</v>
      </c>
      <c r="G71" s="233">
        <v>5000</v>
      </c>
      <c r="H71" s="233"/>
      <c r="I71" s="190">
        <f t="shared" si="0"/>
        <v>100</v>
      </c>
    </row>
    <row r="72" spans="1:9" ht="12.75">
      <c r="A72" s="232"/>
      <c r="B72" s="232"/>
      <c r="C72" s="234" t="s">
        <v>172</v>
      </c>
      <c r="D72" s="234"/>
      <c r="E72" s="183">
        <f>SUM(E73)</f>
        <v>9515</v>
      </c>
      <c r="F72" s="183">
        <f>SUM(F73)</f>
        <v>9515</v>
      </c>
      <c r="G72" s="183">
        <f>SUM(G73)</f>
        <v>9067.8</v>
      </c>
      <c r="H72" s="233">
        <f>SUM(H73)</f>
        <v>0</v>
      </c>
      <c r="I72" s="184">
        <f t="shared" si="0"/>
        <v>95.3</v>
      </c>
    </row>
    <row r="73" spans="1:9" ht="33.75">
      <c r="A73" s="232"/>
      <c r="B73" s="232"/>
      <c r="C73" s="235" t="s">
        <v>173</v>
      </c>
      <c r="D73" s="235" t="s">
        <v>117</v>
      </c>
      <c r="E73" s="233">
        <f>19515-10000</f>
        <v>9515</v>
      </c>
      <c r="F73" s="233">
        <f>19515-10000</f>
        <v>9515</v>
      </c>
      <c r="G73" s="233">
        <v>9067.8</v>
      </c>
      <c r="H73" s="233"/>
      <c r="I73" s="190">
        <f t="shared" si="0"/>
        <v>95.3</v>
      </c>
    </row>
    <row r="74" spans="1:9" ht="12.75">
      <c r="A74" s="232"/>
      <c r="B74" s="239"/>
      <c r="C74" s="240" t="s">
        <v>174</v>
      </c>
      <c r="D74" s="241"/>
      <c r="E74" s="242">
        <f>SUM(E75,E77,E147,E153)</f>
        <v>19853888</v>
      </c>
      <c r="F74" s="243">
        <f>SUM(F75,F77,F147,F153)</f>
        <v>20698101</v>
      </c>
      <c r="G74" s="243">
        <f>SUM(G75,G77,G147,G153)</f>
        <v>8263160.470000001</v>
      </c>
      <c r="H74" s="243">
        <f>SUM(H75,H77,H147,H153)</f>
        <v>1843226.5</v>
      </c>
      <c r="I74" s="244">
        <f t="shared" si="0"/>
        <v>39.9</v>
      </c>
    </row>
    <row r="75" spans="1:9" ht="12.75">
      <c r="A75" s="232" t="s">
        <v>175</v>
      </c>
      <c r="B75" s="232"/>
      <c r="C75" s="181" t="s">
        <v>87</v>
      </c>
      <c r="D75" s="229"/>
      <c r="E75" s="183">
        <f>SUM(E76)</f>
        <v>7887</v>
      </c>
      <c r="F75" s="243">
        <f>SUM(F76)</f>
        <v>7887</v>
      </c>
      <c r="G75" s="243">
        <f>SUM(G76)</f>
        <v>7886.33</v>
      </c>
      <c r="H75" s="243"/>
      <c r="I75" s="244">
        <f t="shared" si="0"/>
        <v>100</v>
      </c>
    </row>
    <row r="76" spans="1:9" ht="12.75" customHeight="1">
      <c r="A76" s="232"/>
      <c r="B76" s="232"/>
      <c r="C76" s="245" t="s">
        <v>176</v>
      </c>
      <c r="D76" s="245" t="s">
        <v>117</v>
      </c>
      <c r="E76" s="233">
        <v>7887</v>
      </c>
      <c r="F76" s="197">
        <v>7887</v>
      </c>
      <c r="G76" s="197">
        <v>7886.33</v>
      </c>
      <c r="H76" s="197"/>
      <c r="I76" s="190">
        <f t="shared" si="0"/>
        <v>100</v>
      </c>
    </row>
    <row r="77" spans="1:9" ht="11.25" customHeight="1">
      <c r="A77" s="232"/>
      <c r="B77" s="232"/>
      <c r="C77" s="240" t="s">
        <v>91</v>
      </c>
      <c r="D77" s="241"/>
      <c r="E77" s="242">
        <f>SUM(E78,E138,E144)</f>
        <v>19431654</v>
      </c>
      <c r="F77" s="243">
        <f>SUM(F78,F138,F144)</f>
        <v>20223167</v>
      </c>
      <c r="G77" s="243">
        <f>SUM(G78,G138,G144)</f>
        <v>7864579.930000001</v>
      </c>
      <c r="H77" s="243">
        <f>SUM(H78,H138,H144)</f>
        <v>1723638.78</v>
      </c>
      <c r="I77" s="244">
        <f t="shared" si="0"/>
        <v>38.9</v>
      </c>
    </row>
    <row r="78" spans="1:9" ht="12.75">
      <c r="A78" s="232" t="s">
        <v>177</v>
      </c>
      <c r="B78" s="232"/>
      <c r="C78" s="246" t="s">
        <v>178</v>
      </c>
      <c r="D78" s="246"/>
      <c r="E78" s="236">
        <f>SUM(E79,E93,E102,E120,E130,E131,E133)</f>
        <v>17801269</v>
      </c>
      <c r="F78" s="247">
        <f>SUM(F79,F93,F102,F120,F130,F131,F133,F119)</f>
        <v>18534964</v>
      </c>
      <c r="G78" s="247">
        <f>SUM(G79,G93,G102,G120,G130,G131,G133,G119)</f>
        <v>7565207.53</v>
      </c>
      <c r="H78" s="247">
        <f>SUM(H79,H93,H102,H120,H130,H131,H133,H119)</f>
        <v>1631939.07</v>
      </c>
      <c r="I78" s="244">
        <f t="shared" si="0"/>
        <v>40.8</v>
      </c>
    </row>
    <row r="79" spans="1:9" ht="12.75">
      <c r="A79" s="232" t="s">
        <v>179</v>
      </c>
      <c r="B79" s="232"/>
      <c r="C79" s="240" t="s">
        <v>180</v>
      </c>
      <c r="D79" s="248"/>
      <c r="E79" s="183">
        <f>SUM(E80:E89)</f>
        <v>16567234</v>
      </c>
      <c r="F79" s="243">
        <f>SUM(F80:F92)</f>
        <v>16828734</v>
      </c>
      <c r="G79" s="243">
        <f>SUM(G80:G92)</f>
        <v>5876949.819999999</v>
      </c>
      <c r="H79" s="243">
        <f>SUM(H80:H92)</f>
        <v>1590062.07</v>
      </c>
      <c r="I79" s="244">
        <f t="shared" si="0"/>
        <v>34.9</v>
      </c>
    </row>
    <row r="80" spans="1:9" ht="12.75">
      <c r="A80" s="232"/>
      <c r="B80" s="232"/>
      <c r="C80" s="245" t="s">
        <v>181</v>
      </c>
      <c r="D80" s="245" t="s">
        <v>117</v>
      </c>
      <c r="E80" s="233">
        <v>2281646</v>
      </c>
      <c r="F80" s="197">
        <f>2281646-971100-5049-26700</f>
        <v>1278797</v>
      </c>
      <c r="G80" s="197">
        <v>701285.42</v>
      </c>
      <c r="H80" s="197">
        <v>121812.3</v>
      </c>
      <c r="I80" s="190">
        <f t="shared" si="0"/>
        <v>54.8</v>
      </c>
    </row>
    <row r="81" spans="1:9" ht="12.75">
      <c r="A81" s="232"/>
      <c r="B81" s="232" t="s">
        <v>135</v>
      </c>
      <c r="C81" s="245" t="s">
        <v>181</v>
      </c>
      <c r="D81" s="245" t="s">
        <v>117</v>
      </c>
      <c r="E81" s="233">
        <v>12929326</v>
      </c>
      <c r="F81" s="197">
        <f>12929326-110130-151400</f>
        <v>12667796</v>
      </c>
      <c r="G81" s="197">
        <v>3195467.85</v>
      </c>
      <c r="H81" s="197">
        <v>1423470.55</v>
      </c>
      <c r="I81" s="190">
        <f t="shared" si="0"/>
        <v>25.2</v>
      </c>
    </row>
    <row r="82" spans="1:9" ht="12.75">
      <c r="A82" s="232"/>
      <c r="B82" s="232"/>
      <c r="C82" s="245" t="s">
        <v>182</v>
      </c>
      <c r="D82" s="245" t="s">
        <v>117</v>
      </c>
      <c r="E82" s="245" t="s">
        <v>117</v>
      </c>
      <c r="F82" s="197">
        <f>971100+26700</f>
        <v>997800</v>
      </c>
      <c r="G82" s="197">
        <v>997811.5</v>
      </c>
      <c r="H82" s="197">
        <v>-151373.1</v>
      </c>
      <c r="I82" s="190">
        <f t="shared" si="0"/>
        <v>100</v>
      </c>
    </row>
    <row r="83" spans="1:9" ht="12.75">
      <c r="A83" s="232"/>
      <c r="B83" s="232" t="s">
        <v>135</v>
      </c>
      <c r="C83" s="245" t="s">
        <v>182</v>
      </c>
      <c r="D83" s="245" t="s">
        <v>117</v>
      </c>
      <c r="E83" s="233"/>
      <c r="F83" s="197">
        <f>110130+151400</f>
        <v>261530</v>
      </c>
      <c r="G83" s="197">
        <v>180443.1</v>
      </c>
      <c r="H83" s="197">
        <v>151373.1</v>
      </c>
      <c r="I83" s="190">
        <f t="shared" si="0"/>
        <v>69</v>
      </c>
    </row>
    <row r="84" spans="1:9" ht="12.75">
      <c r="A84" s="232"/>
      <c r="B84" s="232"/>
      <c r="C84" s="245" t="s">
        <v>183</v>
      </c>
      <c r="D84" s="245" t="s">
        <v>117</v>
      </c>
      <c r="E84" s="233"/>
      <c r="F84" s="197">
        <v>5049</v>
      </c>
      <c r="G84" s="197">
        <v>5049.1</v>
      </c>
      <c r="H84" s="197"/>
      <c r="I84" s="190">
        <f t="shared" si="0"/>
        <v>100</v>
      </c>
    </row>
    <row r="85" spans="1:9" ht="22.5">
      <c r="A85" s="232"/>
      <c r="B85" s="232"/>
      <c r="C85" s="249" t="s">
        <v>184</v>
      </c>
      <c r="D85" s="245" t="s">
        <v>117</v>
      </c>
      <c r="E85" s="233">
        <v>177026</v>
      </c>
      <c r="F85" s="197">
        <v>177026</v>
      </c>
      <c r="G85" s="197">
        <f>SUM(H85)</f>
        <v>8971.03</v>
      </c>
      <c r="H85" s="197">
        <v>8971.03</v>
      </c>
      <c r="I85" s="190">
        <f t="shared" si="0"/>
        <v>5.1</v>
      </c>
    </row>
    <row r="86" spans="1:9" ht="22.5">
      <c r="A86" s="232"/>
      <c r="B86" s="232" t="s">
        <v>135</v>
      </c>
      <c r="C86" s="249" t="s">
        <v>184</v>
      </c>
      <c r="D86" s="245" t="s">
        <v>117</v>
      </c>
      <c r="E86" s="233">
        <v>649041</v>
      </c>
      <c r="F86" s="197">
        <v>649041</v>
      </c>
      <c r="G86" s="197">
        <v>33928.72</v>
      </c>
      <c r="H86" s="197">
        <v>32890.99</v>
      </c>
      <c r="I86" s="190">
        <f t="shared" si="0"/>
        <v>5.2</v>
      </c>
    </row>
    <row r="87" spans="1:9" ht="12.75">
      <c r="A87" s="232"/>
      <c r="B87" s="232"/>
      <c r="C87" s="249" t="s">
        <v>185</v>
      </c>
      <c r="D87" s="245" t="s">
        <v>117</v>
      </c>
      <c r="E87" s="233">
        <v>36876</v>
      </c>
      <c r="F87" s="197">
        <v>36876</v>
      </c>
      <c r="G87" s="197">
        <v>36876</v>
      </c>
      <c r="H87" s="197"/>
      <c r="I87" s="190">
        <f t="shared" si="0"/>
        <v>100</v>
      </c>
    </row>
    <row r="88" spans="1:9" ht="12.75">
      <c r="A88" s="232"/>
      <c r="B88" s="232"/>
      <c r="C88" s="245" t="s">
        <v>186</v>
      </c>
      <c r="D88" s="245" t="s">
        <v>117</v>
      </c>
      <c r="E88" s="233">
        <v>193319</v>
      </c>
      <c r="F88" s="197">
        <v>193319</v>
      </c>
      <c r="G88" s="197">
        <v>187354.65</v>
      </c>
      <c r="H88" s="197"/>
      <c r="I88" s="190">
        <f t="shared" si="0"/>
        <v>96.9</v>
      </c>
    </row>
    <row r="89" spans="1:9" ht="12.75">
      <c r="A89" s="232"/>
      <c r="B89" s="232"/>
      <c r="C89" s="249" t="s">
        <v>187</v>
      </c>
      <c r="D89" s="245" t="s">
        <v>117</v>
      </c>
      <c r="E89" s="233">
        <v>300000</v>
      </c>
      <c r="F89" s="197">
        <v>300000</v>
      </c>
      <c r="G89" s="197">
        <v>297516</v>
      </c>
      <c r="H89" s="197"/>
      <c r="I89" s="190">
        <f t="shared" si="0"/>
        <v>99.2</v>
      </c>
    </row>
    <row r="90" spans="1:9" ht="12.75">
      <c r="A90" s="232"/>
      <c r="B90" s="232"/>
      <c r="C90" s="249" t="s">
        <v>188</v>
      </c>
      <c r="D90" s="245" t="s">
        <v>117</v>
      </c>
      <c r="E90" s="233"/>
      <c r="F90" s="197">
        <v>15000</v>
      </c>
      <c r="G90" s="197">
        <v>11040</v>
      </c>
      <c r="H90" s="197">
        <v>2400</v>
      </c>
      <c r="I90" s="190">
        <f t="shared" si="0"/>
        <v>73.6</v>
      </c>
    </row>
    <row r="91" spans="1:9" ht="12.75">
      <c r="A91" s="232"/>
      <c r="B91" s="232"/>
      <c r="C91" s="249" t="s">
        <v>189</v>
      </c>
      <c r="D91" s="245" t="s">
        <v>117</v>
      </c>
      <c r="E91" s="233"/>
      <c r="F91" s="197">
        <v>15000</v>
      </c>
      <c r="G91" s="197">
        <v>7200</v>
      </c>
      <c r="H91" s="197"/>
      <c r="I91" s="190">
        <f t="shared" si="0"/>
        <v>48</v>
      </c>
    </row>
    <row r="92" spans="1:9" ht="12.75">
      <c r="A92" s="232"/>
      <c r="B92" s="232"/>
      <c r="C92" s="249" t="s">
        <v>190</v>
      </c>
      <c r="D92" s="245" t="s">
        <v>117</v>
      </c>
      <c r="E92" s="233"/>
      <c r="F92" s="197">
        <f>90000+141500</f>
        <v>231500</v>
      </c>
      <c r="G92" s="197">
        <v>214006.45</v>
      </c>
      <c r="H92" s="197">
        <v>517.2</v>
      </c>
      <c r="I92" s="190">
        <f t="shared" si="0"/>
        <v>92.4</v>
      </c>
    </row>
    <row r="93" spans="1:9" ht="12.75">
      <c r="A93" s="232"/>
      <c r="B93" s="232"/>
      <c r="C93" s="240" t="s">
        <v>191</v>
      </c>
      <c r="D93" s="245" t="s">
        <v>117</v>
      </c>
      <c r="E93" s="183">
        <v>64000</v>
      </c>
      <c r="F93" s="243">
        <v>64000</v>
      </c>
      <c r="G93" s="243">
        <f>SUM(G94:G101)</f>
        <v>64394.93999999999</v>
      </c>
      <c r="H93" s="243"/>
      <c r="I93" s="184">
        <f t="shared" si="0"/>
        <v>100.6</v>
      </c>
    </row>
    <row r="94" spans="1:9" ht="12.75">
      <c r="A94" s="232"/>
      <c r="B94" s="232"/>
      <c r="C94" s="245" t="s">
        <v>192</v>
      </c>
      <c r="D94" s="245"/>
      <c r="E94" s="183"/>
      <c r="F94" s="243"/>
      <c r="G94" s="233">
        <v>1584</v>
      </c>
      <c r="H94" s="233"/>
      <c r="I94" s="190"/>
    </row>
    <row r="95" spans="1:9" ht="12.75">
      <c r="A95" s="232"/>
      <c r="B95" s="232"/>
      <c r="C95" s="245" t="s">
        <v>193</v>
      </c>
      <c r="D95" s="245"/>
      <c r="E95" s="183"/>
      <c r="F95" s="243"/>
      <c r="G95" s="233">
        <v>8939.35</v>
      </c>
      <c r="H95" s="233"/>
      <c r="I95" s="190"/>
    </row>
    <row r="96" spans="1:9" ht="12.75">
      <c r="A96" s="232"/>
      <c r="B96" s="232"/>
      <c r="C96" s="245" t="s">
        <v>194</v>
      </c>
      <c r="D96" s="245"/>
      <c r="E96" s="183"/>
      <c r="F96" s="243"/>
      <c r="G96" s="233">
        <v>6621.86</v>
      </c>
      <c r="H96" s="233"/>
      <c r="I96" s="190"/>
    </row>
    <row r="97" spans="1:9" ht="12.75">
      <c r="A97" s="232"/>
      <c r="B97" s="232"/>
      <c r="C97" s="245" t="s">
        <v>195</v>
      </c>
      <c r="D97" s="245"/>
      <c r="E97" s="183"/>
      <c r="F97" s="243"/>
      <c r="G97" s="233">
        <v>24186.05</v>
      </c>
      <c r="H97" s="233"/>
      <c r="I97" s="190"/>
    </row>
    <row r="98" spans="1:9" ht="12.75">
      <c r="A98" s="232"/>
      <c r="B98" s="232"/>
      <c r="C98" s="245" t="s">
        <v>196</v>
      </c>
      <c r="D98" s="245"/>
      <c r="E98" s="183"/>
      <c r="F98" s="243"/>
      <c r="G98" s="233">
        <v>2740.84</v>
      </c>
      <c r="H98" s="233"/>
      <c r="I98" s="190"/>
    </row>
    <row r="99" spans="1:9" ht="12.75">
      <c r="A99" s="232"/>
      <c r="B99" s="232"/>
      <c r="C99" s="245" t="s">
        <v>197</v>
      </c>
      <c r="D99" s="245"/>
      <c r="E99" s="183"/>
      <c r="F99" s="243"/>
      <c r="G99" s="233">
        <v>2706.84</v>
      </c>
      <c r="H99" s="233"/>
      <c r="I99" s="190"/>
    </row>
    <row r="100" spans="1:9" ht="12.75">
      <c r="A100" s="232"/>
      <c r="B100" s="232"/>
      <c r="C100" s="245" t="s">
        <v>198</v>
      </c>
      <c r="D100" s="245"/>
      <c r="E100" s="183"/>
      <c r="F100" s="243"/>
      <c r="G100" s="233">
        <v>8244</v>
      </c>
      <c r="H100" s="233"/>
      <c r="I100" s="190"/>
    </row>
    <row r="101" spans="1:9" ht="12.75">
      <c r="A101" s="232"/>
      <c r="B101" s="232"/>
      <c r="C101" s="245" t="s">
        <v>199</v>
      </c>
      <c r="D101" s="245"/>
      <c r="E101" s="183"/>
      <c r="F101" s="243"/>
      <c r="G101" s="233">
        <v>9372</v>
      </c>
      <c r="H101" s="233"/>
      <c r="I101" s="190"/>
    </row>
    <row r="102" spans="1:9" ht="12.75">
      <c r="A102" s="232"/>
      <c r="B102" s="232"/>
      <c r="C102" s="240" t="s">
        <v>200</v>
      </c>
      <c r="D102" s="245" t="s">
        <v>117</v>
      </c>
      <c r="E102" s="183">
        <v>650000</v>
      </c>
      <c r="F102" s="243">
        <f>650000+240000</f>
        <v>890000</v>
      </c>
      <c r="G102" s="243">
        <f>SUM(G103:G118)</f>
        <v>887091.9500000001</v>
      </c>
      <c r="H102" s="243">
        <f>SUM(H103:H118)</f>
        <v>0</v>
      </c>
      <c r="I102" s="184">
        <f t="shared" si="0"/>
        <v>99.7</v>
      </c>
    </row>
    <row r="103" spans="1:9" ht="12.75">
      <c r="A103" s="232"/>
      <c r="B103" s="232"/>
      <c r="C103" s="245" t="s">
        <v>201</v>
      </c>
      <c r="D103" s="245"/>
      <c r="E103" s="245"/>
      <c r="F103" s="250"/>
      <c r="G103" s="197">
        <v>161224.64</v>
      </c>
      <c r="H103" s="197"/>
      <c r="I103" s="190"/>
    </row>
    <row r="104" spans="1:9" ht="12.75">
      <c r="A104" s="232"/>
      <c r="B104" s="232"/>
      <c r="C104" s="245" t="s">
        <v>202</v>
      </c>
      <c r="D104" s="245"/>
      <c r="E104" s="245"/>
      <c r="F104" s="250"/>
      <c r="G104" s="197">
        <v>238023.36</v>
      </c>
      <c r="H104" s="197"/>
      <c r="I104" s="190"/>
    </row>
    <row r="105" spans="1:9" ht="12.75">
      <c r="A105" s="232"/>
      <c r="B105" s="232"/>
      <c r="C105" s="245" t="s">
        <v>203</v>
      </c>
      <c r="D105" s="245"/>
      <c r="E105" s="245"/>
      <c r="F105" s="250"/>
      <c r="G105" s="197">
        <v>219459.58</v>
      </c>
      <c r="H105" s="197"/>
      <c r="I105" s="190"/>
    </row>
    <row r="106" spans="1:9" ht="12.75">
      <c r="A106" s="232"/>
      <c r="B106" s="232"/>
      <c r="C106" s="245" t="s">
        <v>204</v>
      </c>
      <c r="D106" s="245"/>
      <c r="E106" s="245"/>
      <c r="F106" s="250"/>
      <c r="G106" s="197"/>
      <c r="H106" s="197"/>
      <c r="I106" s="190"/>
    </row>
    <row r="107" spans="1:9" ht="12.75">
      <c r="A107" s="232"/>
      <c r="B107" s="232"/>
      <c r="C107" s="245" t="s">
        <v>205</v>
      </c>
      <c r="D107" s="245"/>
      <c r="E107" s="245"/>
      <c r="F107" s="250"/>
      <c r="G107" s="197"/>
      <c r="H107" s="197"/>
      <c r="I107" s="190"/>
    </row>
    <row r="108" spans="1:9" ht="12.75">
      <c r="A108" s="232"/>
      <c r="B108" s="232"/>
      <c r="C108" s="245" t="s">
        <v>206</v>
      </c>
      <c r="D108" s="245"/>
      <c r="E108" s="245"/>
      <c r="F108" s="250"/>
      <c r="G108" s="197"/>
      <c r="H108" s="197"/>
      <c r="I108" s="190"/>
    </row>
    <row r="109" spans="1:9" ht="12.75">
      <c r="A109" s="232"/>
      <c r="B109" s="232"/>
      <c r="C109" s="245" t="s">
        <v>207</v>
      </c>
      <c r="D109" s="245"/>
      <c r="E109" s="245"/>
      <c r="F109" s="250"/>
      <c r="G109" s="197">
        <v>67963.13</v>
      </c>
      <c r="H109" s="197"/>
      <c r="I109" s="190"/>
    </row>
    <row r="110" spans="1:9" ht="12.75">
      <c r="A110" s="232"/>
      <c r="B110" s="232"/>
      <c r="C110" s="245" t="s">
        <v>208</v>
      </c>
      <c r="D110" s="245"/>
      <c r="E110" s="245"/>
      <c r="F110" s="250"/>
      <c r="G110" s="197"/>
      <c r="H110" s="197"/>
      <c r="I110" s="190"/>
    </row>
    <row r="111" spans="1:9" ht="12.75">
      <c r="A111" s="232"/>
      <c r="B111" s="232"/>
      <c r="C111" s="245" t="s">
        <v>209</v>
      </c>
      <c r="D111" s="245"/>
      <c r="E111" s="245"/>
      <c r="F111" s="250"/>
      <c r="G111" s="197">
        <v>6872.53</v>
      </c>
      <c r="H111" s="197"/>
      <c r="I111" s="190"/>
    </row>
    <row r="112" spans="1:9" ht="12.75">
      <c r="A112" s="232"/>
      <c r="B112" s="232"/>
      <c r="C112" s="245" t="s">
        <v>210</v>
      </c>
      <c r="D112" s="245"/>
      <c r="E112" s="245"/>
      <c r="F112" s="250"/>
      <c r="G112" s="197">
        <v>10657.66</v>
      </c>
      <c r="H112" s="197"/>
      <c r="I112" s="190"/>
    </row>
    <row r="113" spans="1:9" ht="12.75">
      <c r="A113" s="232"/>
      <c r="B113" s="232"/>
      <c r="C113" s="245" t="s">
        <v>211</v>
      </c>
      <c r="D113" s="245"/>
      <c r="E113" s="245"/>
      <c r="F113" s="250"/>
      <c r="G113" s="197">
        <v>96491.05</v>
      </c>
      <c r="H113" s="197"/>
      <c r="I113" s="190"/>
    </row>
    <row r="114" spans="1:9" ht="12.75">
      <c r="A114" s="232"/>
      <c r="B114" s="232"/>
      <c r="C114" s="245" t="s">
        <v>212</v>
      </c>
      <c r="D114" s="245"/>
      <c r="E114" s="245"/>
      <c r="F114" s="250"/>
      <c r="G114" s="197">
        <v>86400</v>
      </c>
      <c r="H114" s="197"/>
      <c r="I114" s="190"/>
    </row>
    <row r="115" spans="1:9" ht="12.75">
      <c r="A115" s="232"/>
      <c r="B115" s="232"/>
      <c r="C115" s="245" t="s">
        <v>213</v>
      </c>
      <c r="D115" s="245"/>
      <c r="E115" s="245"/>
      <c r="F115" s="250"/>
      <c r="G115" s="197"/>
      <c r="H115" s="197"/>
      <c r="I115" s="190"/>
    </row>
    <row r="116" spans="1:9" ht="12.75">
      <c r="A116" s="232"/>
      <c r="B116" s="232"/>
      <c r="C116" s="245" t="s">
        <v>214</v>
      </c>
      <c r="D116" s="245"/>
      <c r="E116" s="245"/>
      <c r="F116" s="250"/>
      <c r="G116" s="197"/>
      <c r="H116" s="197"/>
      <c r="I116" s="190"/>
    </row>
    <row r="117" spans="1:9" ht="12.75">
      <c r="A117" s="232"/>
      <c r="B117" s="232"/>
      <c r="C117" s="245" t="s">
        <v>215</v>
      </c>
      <c r="D117" s="245"/>
      <c r="E117" s="245"/>
      <c r="F117" s="250"/>
      <c r="G117" s="197"/>
      <c r="H117" s="197"/>
      <c r="I117" s="190"/>
    </row>
    <row r="118" spans="1:9" ht="12.75">
      <c r="A118" s="232"/>
      <c r="B118" s="232"/>
      <c r="C118" s="245" t="s">
        <v>216</v>
      </c>
      <c r="D118" s="245"/>
      <c r="E118" s="245"/>
      <c r="F118" s="250"/>
      <c r="G118" s="197"/>
      <c r="H118" s="197"/>
      <c r="I118" s="190"/>
    </row>
    <row r="119" spans="1:9" ht="12.75">
      <c r="A119" s="232"/>
      <c r="B119" s="232"/>
      <c r="C119" s="245" t="s">
        <v>217</v>
      </c>
      <c r="D119" s="245" t="s">
        <v>117</v>
      </c>
      <c r="E119" s="245"/>
      <c r="F119" s="183">
        <v>11600</v>
      </c>
      <c r="G119" s="183">
        <v>11599.2</v>
      </c>
      <c r="H119" s="183"/>
      <c r="I119" s="184">
        <f>ROUND(G119/F119*100,1)</f>
        <v>100</v>
      </c>
    </row>
    <row r="120" spans="1:9" ht="12.75">
      <c r="A120" s="232"/>
      <c r="B120" s="232"/>
      <c r="C120" s="240" t="s">
        <v>218</v>
      </c>
      <c r="D120" s="245" t="s">
        <v>117</v>
      </c>
      <c r="E120" s="183">
        <v>30000</v>
      </c>
      <c r="F120" s="243">
        <f>30000+200595</f>
        <v>230595</v>
      </c>
      <c r="G120" s="183">
        <f>SUM(G121:G129)</f>
        <v>223281.58000000002</v>
      </c>
      <c r="H120" s="183">
        <f>SUM(H121:H129)</f>
        <v>35277</v>
      </c>
      <c r="I120" s="244">
        <f aca="true" t="shared" si="5" ref="I120:I187">ROUND(G120/F120*100,1)</f>
        <v>96.8</v>
      </c>
    </row>
    <row r="121" spans="1:9" ht="12.75">
      <c r="A121" s="232"/>
      <c r="B121" s="232"/>
      <c r="C121" s="245" t="s">
        <v>219</v>
      </c>
      <c r="D121" s="245"/>
      <c r="E121" s="183"/>
      <c r="F121" s="243"/>
      <c r="G121" s="197">
        <v>8734.54</v>
      </c>
      <c r="H121" s="197"/>
      <c r="I121" s="244"/>
    </row>
    <row r="122" spans="1:9" ht="12.75">
      <c r="A122" s="232"/>
      <c r="B122" s="232"/>
      <c r="C122" s="245" t="s">
        <v>220</v>
      </c>
      <c r="D122" s="245"/>
      <c r="E122" s="183"/>
      <c r="F122" s="243"/>
      <c r="G122" s="197">
        <v>55642</v>
      </c>
      <c r="H122" s="197"/>
      <c r="I122" s="244"/>
    </row>
    <row r="123" spans="1:9" ht="12.75">
      <c r="A123" s="232"/>
      <c r="B123" s="232"/>
      <c r="C123" s="245" t="s">
        <v>221</v>
      </c>
      <c r="D123" s="245"/>
      <c r="E123" s="183"/>
      <c r="F123" s="243"/>
      <c r="G123" s="197">
        <v>19468</v>
      </c>
      <c r="H123" s="197"/>
      <c r="I123" s="244"/>
    </row>
    <row r="124" spans="1:9" ht="12.75">
      <c r="A124" s="232"/>
      <c r="B124" s="232"/>
      <c r="C124" s="245" t="s">
        <v>222</v>
      </c>
      <c r="D124" s="245"/>
      <c r="E124" s="183"/>
      <c r="F124" s="243"/>
      <c r="G124" s="197"/>
      <c r="H124" s="197"/>
      <c r="I124" s="244"/>
    </row>
    <row r="125" spans="1:9" ht="12.75">
      <c r="A125" s="232"/>
      <c r="B125" s="232"/>
      <c r="C125" s="245" t="s">
        <v>223</v>
      </c>
      <c r="D125" s="245"/>
      <c r="E125" s="183"/>
      <c r="F125" s="243"/>
      <c r="G125" s="197">
        <v>33848.26</v>
      </c>
      <c r="H125" s="197"/>
      <c r="I125" s="244"/>
    </row>
    <row r="126" spans="1:9" ht="12.75">
      <c r="A126" s="232"/>
      <c r="B126" s="232"/>
      <c r="C126" s="245" t="s">
        <v>224</v>
      </c>
      <c r="D126" s="245"/>
      <c r="E126" s="183"/>
      <c r="F126" s="243"/>
      <c r="G126" s="197">
        <v>35277</v>
      </c>
      <c r="H126" s="197">
        <v>35277</v>
      </c>
      <c r="I126" s="244"/>
    </row>
    <row r="127" spans="1:9" ht="12.75">
      <c r="A127" s="232"/>
      <c r="B127" s="232"/>
      <c r="C127" s="245" t="s">
        <v>225</v>
      </c>
      <c r="D127" s="245"/>
      <c r="E127" s="183"/>
      <c r="F127" s="243"/>
      <c r="G127" s="197">
        <v>23782.8</v>
      </c>
      <c r="H127" s="197"/>
      <c r="I127" s="244"/>
    </row>
    <row r="128" spans="1:9" ht="12.75">
      <c r="A128" s="232"/>
      <c r="B128" s="232"/>
      <c r="C128" s="245" t="s">
        <v>226</v>
      </c>
      <c r="D128" s="245"/>
      <c r="E128" s="183"/>
      <c r="F128" s="243"/>
      <c r="G128" s="197">
        <v>46528.98</v>
      </c>
      <c r="H128" s="197"/>
      <c r="I128" s="244"/>
    </row>
    <row r="129" spans="1:9" ht="12.75">
      <c r="A129" s="232"/>
      <c r="B129" s="232"/>
      <c r="C129" s="245" t="s">
        <v>227</v>
      </c>
      <c r="D129" s="245"/>
      <c r="E129" s="183"/>
      <c r="F129" s="243"/>
      <c r="G129" s="197"/>
      <c r="H129" s="197"/>
      <c r="I129" s="244"/>
    </row>
    <row r="130" spans="1:9" ht="12.75">
      <c r="A130" s="232"/>
      <c r="B130" s="232"/>
      <c r="C130" s="240" t="s">
        <v>228</v>
      </c>
      <c r="D130" s="245" t="s">
        <v>117</v>
      </c>
      <c r="E130" s="183">
        <v>5000</v>
      </c>
      <c r="F130" s="243">
        <v>5000</v>
      </c>
      <c r="G130" s="197">
        <f>SUM(H130)</f>
        <v>6600</v>
      </c>
      <c r="H130" s="197">
        <v>6600</v>
      </c>
      <c r="I130" s="244">
        <f t="shared" si="5"/>
        <v>132</v>
      </c>
    </row>
    <row r="131" spans="1:9" ht="12.75">
      <c r="A131" s="232"/>
      <c r="B131" s="232"/>
      <c r="C131" s="240" t="s">
        <v>229</v>
      </c>
      <c r="D131" s="240"/>
      <c r="E131" s="251">
        <f>SUM(E132)</f>
        <v>55000</v>
      </c>
      <c r="F131" s="243">
        <f>SUM(F132)</f>
        <v>75000</v>
      </c>
      <c r="G131" s="243">
        <f>SUM(G132)</f>
        <v>66715.88</v>
      </c>
      <c r="H131" s="233">
        <f>SUM(H132)</f>
        <v>0</v>
      </c>
      <c r="I131" s="244">
        <f t="shared" si="5"/>
        <v>89</v>
      </c>
    </row>
    <row r="132" spans="1:9" ht="12.75">
      <c r="A132" s="232"/>
      <c r="B132" s="232"/>
      <c r="C132" s="245" t="s">
        <v>230</v>
      </c>
      <c r="D132" s="245" t="s">
        <v>117</v>
      </c>
      <c r="E132" s="233">
        <v>55000</v>
      </c>
      <c r="F132" s="197">
        <f>55000+20000</f>
        <v>75000</v>
      </c>
      <c r="G132" s="197">
        <v>66715.88</v>
      </c>
      <c r="H132" s="233"/>
      <c r="I132" s="190">
        <f t="shared" si="5"/>
        <v>89</v>
      </c>
    </row>
    <row r="133" spans="1:9" ht="12.75">
      <c r="A133" s="232"/>
      <c r="B133" s="232"/>
      <c r="C133" s="240" t="s">
        <v>231</v>
      </c>
      <c r="D133" s="248"/>
      <c r="E133" s="183">
        <f>SUM(E134:E137)</f>
        <v>430035</v>
      </c>
      <c r="F133" s="243">
        <f>SUM(F134:F137)</f>
        <v>430035</v>
      </c>
      <c r="G133" s="243">
        <f>SUM(G134:G137)</f>
        <v>428574.16000000003</v>
      </c>
      <c r="H133" s="233"/>
      <c r="I133" s="244">
        <f t="shared" si="5"/>
        <v>99.7</v>
      </c>
    </row>
    <row r="134" spans="1:9" ht="12.75">
      <c r="A134" s="232"/>
      <c r="B134" s="232"/>
      <c r="C134" s="245" t="s">
        <v>232</v>
      </c>
      <c r="D134" s="245" t="s">
        <v>125</v>
      </c>
      <c r="E134" s="233">
        <v>31060</v>
      </c>
      <c r="F134" s="197">
        <v>31060</v>
      </c>
      <c r="G134" s="197">
        <v>31061.04</v>
      </c>
      <c r="H134" s="197"/>
      <c r="I134" s="190">
        <f t="shared" si="5"/>
        <v>100</v>
      </c>
    </row>
    <row r="135" spans="1:9" ht="12.75">
      <c r="A135" s="232"/>
      <c r="B135" s="232"/>
      <c r="C135" s="245" t="s">
        <v>233</v>
      </c>
      <c r="D135" s="245" t="s">
        <v>125</v>
      </c>
      <c r="E135" s="233">
        <v>95368</v>
      </c>
      <c r="F135" s="197">
        <v>95368</v>
      </c>
      <c r="G135" s="197">
        <v>93907.01</v>
      </c>
      <c r="H135" s="197"/>
      <c r="I135" s="190">
        <f t="shared" si="5"/>
        <v>98.5</v>
      </c>
    </row>
    <row r="136" spans="1:9" ht="12.75">
      <c r="A136" s="232"/>
      <c r="B136" s="232"/>
      <c r="C136" s="245" t="s">
        <v>234</v>
      </c>
      <c r="D136" s="245" t="s">
        <v>125</v>
      </c>
      <c r="E136" s="233">
        <v>267816</v>
      </c>
      <c r="F136" s="197">
        <v>267816</v>
      </c>
      <c r="G136" s="197">
        <v>267815.59</v>
      </c>
      <c r="H136" s="197"/>
      <c r="I136" s="190">
        <f t="shared" si="5"/>
        <v>100</v>
      </c>
    </row>
    <row r="137" spans="1:9" ht="12.75">
      <c r="A137" s="232"/>
      <c r="B137" s="232"/>
      <c r="C137" s="245" t="s">
        <v>235</v>
      </c>
      <c r="D137" s="245" t="s">
        <v>125</v>
      </c>
      <c r="E137" s="233">
        <v>35791</v>
      </c>
      <c r="F137" s="197">
        <v>35791</v>
      </c>
      <c r="G137" s="197">
        <v>35790.52</v>
      </c>
      <c r="H137" s="197"/>
      <c r="I137" s="190">
        <f t="shared" si="5"/>
        <v>100</v>
      </c>
    </row>
    <row r="138" spans="1:9" ht="12.75">
      <c r="A138" s="232"/>
      <c r="B138" s="232"/>
      <c r="C138" s="240" t="s">
        <v>236</v>
      </c>
      <c r="D138" s="245"/>
      <c r="E138" s="183">
        <f>SUM(E139,E141,E143)</f>
        <v>303990</v>
      </c>
      <c r="F138" s="243">
        <f>SUM(F139:F143)</f>
        <v>361808</v>
      </c>
      <c r="G138" s="243">
        <f>SUM(G139:G143)</f>
        <v>291100.44999999995</v>
      </c>
      <c r="H138" s="243">
        <f>SUM(H139:H143)</f>
        <v>91699.70999999999</v>
      </c>
      <c r="I138" s="244">
        <f t="shared" si="5"/>
        <v>80.5</v>
      </c>
    </row>
    <row r="139" spans="1:9" ht="12.75">
      <c r="A139" s="232"/>
      <c r="B139" s="232"/>
      <c r="C139" s="245" t="s">
        <v>237</v>
      </c>
      <c r="D139" s="250" t="s">
        <v>117</v>
      </c>
      <c r="E139" s="233">
        <v>6500</v>
      </c>
      <c r="F139" s="197">
        <f>6500+3184</f>
        <v>9684</v>
      </c>
      <c r="G139" s="197">
        <v>9684</v>
      </c>
      <c r="H139" s="197">
        <v>8715.6</v>
      </c>
      <c r="I139" s="190">
        <f t="shared" si="5"/>
        <v>100</v>
      </c>
    </row>
    <row r="140" spans="1:9" ht="12.75">
      <c r="A140" s="232"/>
      <c r="B140" s="232"/>
      <c r="C140" s="245" t="s">
        <v>238</v>
      </c>
      <c r="D140" s="250" t="s">
        <v>117</v>
      </c>
      <c r="E140" s="233"/>
      <c r="F140" s="197">
        <f>140000-140000</f>
        <v>0</v>
      </c>
      <c r="G140" s="197"/>
      <c r="H140" s="197"/>
      <c r="I140" s="190"/>
    </row>
    <row r="141" spans="1:9" ht="12.75">
      <c r="A141" s="232"/>
      <c r="B141" s="232"/>
      <c r="C141" s="245" t="s">
        <v>239</v>
      </c>
      <c r="D141" s="250" t="s">
        <v>117</v>
      </c>
      <c r="E141" s="233">
        <v>98420</v>
      </c>
      <c r="F141" s="197">
        <f>98420+54634-684</f>
        <v>152370</v>
      </c>
      <c r="G141" s="197">
        <v>147087.07</v>
      </c>
      <c r="H141" s="197">
        <v>70767.03</v>
      </c>
      <c r="I141" s="190">
        <f t="shared" si="5"/>
        <v>96.5</v>
      </c>
    </row>
    <row r="142" spans="1:9" ht="12.75">
      <c r="A142" s="232"/>
      <c r="B142" s="232"/>
      <c r="C142" s="245" t="s">
        <v>239</v>
      </c>
      <c r="D142" s="250" t="s">
        <v>125</v>
      </c>
      <c r="E142" s="233"/>
      <c r="F142" s="197">
        <v>684</v>
      </c>
      <c r="G142" s="197">
        <v>1368.58</v>
      </c>
      <c r="H142" s="197">
        <v>684.29</v>
      </c>
      <c r="I142" s="190">
        <f t="shared" si="5"/>
        <v>200.1</v>
      </c>
    </row>
    <row r="143" spans="1:9" ht="12.75">
      <c r="A143" s="232"/>
      <c r="B143" s="232" t="s">
        <v>135</v>
      </c>
      <c r="C143" s="245" t="s">
        <v>239</v>
      </c>
      <c r="D143" s="250" t="s">
        <v>117</v>
      </c>
      <c r="E143" s="197">
        <v>199070</v>
      </c>
      <c r="F143" s="197">
        <v>199070</v>
      </c>
      <c r="G143" s="197">
        <v>132960.8</v>
      </c>
      <c r="H143" s="197">
        <v>11532.79</v>
      </c>
      <c r="I143" s="190">
        <f t="shared" si="5"/>
        <v>66.8</v>
      </c>
    </row>
    <row r="144" spans="1:9" ht="12.75">
      <c r="A144" s="232"/>
      <c r="B144" s="232"/>
      <c r="C144" s="181" t="s">
        <v>240</v>
      </c>
      <c r="D144" s="181"/>
      <c r="E144" s="183">
        <f>SUM(E145,E146)</f>
        <v>1326395</v>
      </c>
      <c r="F144" s="243">
        <f>SUM(F145,F146)</f>
        <v>1326395</v>
      </c>
      <c r="G144" s="243">
        <f>SUM(G145,G146)</f>
        <v>8271.95</v>
      </c>
      <c r="H144" s="243"/>
      <c r="I144" s="244">
        <f t="shared" si="5"/>
        <v>0.6</v>
      </c>
    </row>
    <row r="145" spans="1:9" ht="15.75" customHeight="1">
      <c r="A145" s="232" t="s">
        <v>241</v>
      </c>
      <c r="B145" s="232"/>
      <c r="C145" s="235" t="s">
        <v>242</v>
      </c>
      <c r="D145" s="235" t="s">
        <v>117</v>
      </c>
      <c r="E145" s="233">
        <v>30000</v>
      </c>
      <c r="F145" s="197">
        <v>30000</v>
      </c>
      <c r="G145" s="197">
        <v>2998.59</v>
      </c>
      <c r="H145" s="197"/>
      <c r="I145" s="190">
        <f t="shared" si="5"/>
        <v>10</v>
      </c>
    </row>
    <row r="146" spans="1:9" ht="13.5" customHeight="1">
      <c r="A146" s="232"/>
      <c r="B146" s="232" t="s">
        <v>135</v>
      </c>
      <c r="C146" s="235" t="s">
        <v>242</v>
      </c>
      <c r="D146" s="235" t="s">
        <v>117</v>
      </c>
      <c r="E146" s="233">
        <v>1296395</v>
      </c>
      <c r="F146" s="197">
        <v>1296395</v>
      </c>
      <c r="G146" s="197">
        <v>5273.36</v>
      </c>
      <c r="H146" s="197"/>
      <c r="I146" s="190">
        <f t="shared" si="5"/>
        <v>0.4</v>
      </c>
    </row>
    <row r="147" spans="1:9" ht="12.75">
      <c r="A147" s="232"/>
      <c r="B147" s="232"/>
      <c r="C147" s="240" t="s">
        <v>93</v>
      </c>
      <c r="D147" s="241"/>
      <c r="E147" s="242">
        <f>SUM(E148)</f>
        <v>294217</v>
      </c>
      <c r="F147" s="243">
        <f>SUM(F148)</f>
        <v>302873</v>
      </c>
      <c r="G147" s="243">
        <f>SUM(G148)</f>
        <v>275269.58</v>
      </c>
      <c r="H147" s="243">
        <f>SUM(H148)</f>
        <v>24549.08</v>
      </c>
      <c r="I147" s="184">
        <f t="shared" si="5"/>
        <v>90.9</v>
      </c>
    </row>
    <row r="148" spans="1:9" ht="12.75">
      <c r="A148" s="232" t="s">
        <v>243</v>
      </c>
      <c r="B148" s="232"/>
      <c r="C148" s="246" t="s">
        <v>244</v>
      </c>
      <c r="D148" s="246"/>
      <c r="E148" s="236">
        <f>SUM(E149,E151,E152)</f>
        <v>294217</v>
      </c>
      <c r="F148" s="247">
        <f>SUM(F149:F152)</f>
        <v>302873</v>
      </c>
      <c r="G148" s="247">
        <f>SUM(G149:G152)</f>
        <v>275269.58</v>
      </c>
      <c r="H148" s="247">
        <f>SUM(H149:H152)</f>
        <v>24549.08</v>
      </c>
      <c r="I148" s="244">
        <f t="shared" si="5"/>
        <v>90.9</v>
      </c>
    </row>
    <row r="149" spans="1:9" ht="12.75">
      <c r="A149" s="232" t="s">
        <v>245</v>
      </c>
      <c r="B149" s="232"/>
      <c r="C149" s="245" t="s">
        <v>246</v>
      </c>
      <c r="D149" s="250" t="s">
        <v>117</v>
      </c>
      <c r="E149" s="233">
        <v>33912</v>
      </c>
      <c r="F149" s="197">
        <f>33912+7500</f>
        <v>41412</v>
      </c>
      <c r="G149" s="197">
        <v>38688</v>
      </c>
      <c r="H149" s="197">
        <v>4776</v>
      </c>
      <c r="I149" s="190">
        <f t="shared" si="5"/>
        <v>93.4</v>
      </c>
    </row>
    <row r="150" spans="1:9" ht="12.75">
      <c r="A150" s="232"/>
      <c r="B150" s="252" t="s">
        <v>135</v>
      </c>
      <c r="C150" s="245" t="s">
        <v>247</v>
      </c>
      <c r="D150" s="250" t="s">
        <v>117</v>
      </c>
      <c r="E150" s="233"/>
      <c r="F150" s="197">
        <v>1156</v>
      </c>
      <c r="G150" s="197">
        <v>1156.46</v>
      </c>
      <c r="H150" s="197"/>
      <c r="I150" s="190">
        <f t="shared" si="5"/>
        <v>100</v>
      </c>
    </row>
    <row r="151" spans="1:9" ht="12.75">
      <c r="A151" s="232"/>
      <c r="B151" s="232"/>
      <c r="C151" s="249" t="s">
        <v>248</v>
      </c>
      <c r="D151" s="250" t="s">
        <v>117</v>
      </c>
      <c r="E151" s="233">
        <v>63190</v>
      </c>
      <c r="F151" s="197">
        <v>63190</v>
      </c>
      <c r="G151" s="197">
        <v>36329.3</v>
      </c>
      <c r="H151" s="197">
        <v>1928.99</v>
      </c>
      <c r="I151" s="190">
        <f t="shared" si="5"/>
        <v>57.5</v>
      </c>
    </row>
    <row r="152" spans="1:9" ht="12.75">
      <c r="A152" s="232"/>
      <c r="B152" s="232" t="s">
        <v>135</v>
      </c>
      <c r="C152" s="249" t="s">
        <v>248</v>
      </c>
      <c r="D152" s="250" t="s">
        <v>117</v>
      </c>
      <c r="E152" s="233">
        <v>197115</v>
      </c>
      <c r="F152" s="197">
        <v>197115</v>
      </c>
      <c r="G152" s="197">
        <v>199095.82</v>
      </c>
      <c r="H152" s="197">
        <v>17844.09</v>
      </c>
      <c r="I152" s="190">
        <f t="shared" si="5"/>
        <v>101</v>
      </c>
    </row>
    <row r="153" spans="1:9" ht="12.75">
      <c r="A153" s="232"/>
      <c r="B153" s="232"/>
      <c r="C153" s="240" t="s">
        <v>249</v>
      </c>
      <c r="D153" s="241"/>
      <c r="E153" s="242">
        <f>SUM(E154,E161)</f>
        <v>120130</v>
      </c>
      <c r="F153" s="243">
        <f>SUM(F154,F161)</f>
        <v>164174</v>
      </c>
      <c r="G153" s="243">
        <f>SUM(G154,G161)</f>
        <v>115424.63</v>
      </c>
      <c r="H153" s="233">
        <f>SUM(H154,H161)</f>
        <v>95038.64</v>
      </c>
      <c r="I153" s="244">
        <f t="shared" si="5"/>
        <v>70.3</v>
      </c>
    </row>
    <row r="154" spans="1:9" ht="12.75">
      <c r="A154" s="232" t="s">
        <v>250</v>
      </c>
      <c r="B154" s="232"/>
      <c r="C154" s="246" t="s">
        <v>251</v>
      </c>
      <c r="D154" s="246"/>
      <c r="E154" s="236">
        <f>SUM(E155:E158)</f>
        <v>112000</v>
      </c>
      <c r="F154" s="247">
        <f>SUM(F155:F160)</f>
        <v>139000</v>
      </c>
      <c r="G154" s="247">
        <f>SUM(G155:G160)</f>
        <v>92174.59</v>
      </c>
      <c r="H154" s="253">
        <f>SUM(H155:H160)</f>
        <v>79913.06</v>
      </c>
      <c r="I154" s="244">
        <f t="shared" si="5"/>
        <v>66.3</v>
      </c>
    </row>
    <row r="155" spans="1:9" ht="13.5" customHeight="1">
      <c r="A155" s="232" t="s">
        <v>252</v>
      </c>
      <c r="B155" s="232"/>
      <c r="C155" s="249" t="s">
        <v>253</v>
      </c>
      <c r="D155" s="254" t="s">
        <v>117</v>
      </c>
      <c r="E155" s="233">
        <v>64000</v>
      </c>
      <c r="F155" s="197">
        <v>64000</v>
      </c>
      <c r="G155" s="197">
        <v>15855.71</v>
      </c>
      <c r="H155" s="233">
        <v>4721.63</v>
      </c>
      <c r="I155" s="190">
        <f t="shared" si="5"/>
        <v>24.8</v>
      </c>
    </row>
    <row r="156" spans="1:9" ht="12.75" customHeight="1">
      <c r="A156" s="232"/>
      <c r="B156" s="232"/>
      <c r="C156" s="249" t="s">
        <v>254</v>
      </c>
      <c r="D156" s="254" t="s">
        <v>117</v>
      </c>
      <c r="E156" s="233">
        <v>26800</v>
      </c>
      <c r="F156" s="197">
        <v>26800</v>
      </c>
      <c r="G156" s="197">
        <f>SUM(H156)</f>
        <v>25800</v>
      </c>
      <c r="H156" s="233">
        <v>25800</v>
      </c>
      <c r="I156" s="190">
        <f t="shared" si="5"/>
        <v>96.3</v>
      </c>
    </row>
    <row r="157" spans="1:9" ht="10.5" customHeight="1">
      <c r="A157" s="232"/>
      <c r="B157" s="232"/>
      <c r="C157" s="249" t="s">
        <v>255</v>
      </c>
      <c r="D157" s="254" t="s">
        <v>117</v>
      </c>
      <c r="E157" s="233">
        <v>10000</v>
      </c>
      <c r="F157" s="197">
        <v>10000</v>
      </c>
      <c r="G157" s="197">
        <f>SUM(H157)</f>
        <v>9360</v>
      </c>
      <c r="H157" s="233">
        <v>9360</v>
      </c>
      <c r="I157" s="190">
        <f t="shared" si="5"/>
        <v>93.6</v>
      </c>
    </row>
    <row r="158" spans="1:9" ht="22.5">
      <c r="A158" s="232"/>
      <c r="B158" s="232"/>
      <c r="C158" s="249" t="s">
        <v>256</v>
      </c>
      <c r="D158" s="254" t="s">
        <v>117</v>
      </c>
      <c r="E158" s="233">
        <v>11200</v>
      </c>
      <c r="F158" s="197">
        <v>11200</v>
      </c>
      <c r="G158" s="197">
        <v>13944.95</v>
      </c>
      <c r="H158" s="233">
        <v>12817.5</v>
      </c>
      <c r="I158" s="190">
        <f t="shared" si="5"/>
        <v>124.5</v>
      </c>
    </row>
    <row r="159" spans="1:9" ht="12" customHeight="1">
      <c r="A159" s="232"/>
      <c r="B159" s="232"/>
      <c r="C159" s="249" t="s">
        <v>257</v>
      </c>
      <c r="D159" s="254" t="s">
        <v>117</v>
      </c>
      <c r="E159" s="233"/>
      <c r="F159" s="197">
        <v>8000</v>
      </c>
      <c r="G159" s="197">
        <v>7399.36</v>
      </c>
      <c r="H159" s="233">
        <v>7399.36</v>
      </c>
      <c r="I159" s="190">
        <f t="shared" si="5"/>
        <v>92.5</v>
      </c>
    </row>
    <row r="160" spans="1:9" ht="9.75" customHeight="1">
      <c r="A160" s="232"/>
      <c r="B160" s="232"/>
      <c r="C160" s="249" t="s">
        <v>258</v>
      </c>
      <c r="D160" s="254" t="s">
        <v>117</v>
      </c>
      <c r="E160" s="233"/>
      <c r="F160" s="197">
        <v>19000</v>
      </c>
      <c r="G160" s="197">
        <v>19814.57</v>
      </c>
      <c r="H160" s="233">
        <v>19814.57</v>
      </c>
      <c r="I160" s="190">
        <f t="shared" si="5"/>
        <v>104.3</v>
      </c>
    </row>
    <row r="161" spans="1:9" ht="12.75">
      <c r="A161" s="232"/>
      <c r="B161" s="232"/>
      <c r="C161" s="240" t="s">
        <v>259</v>
      </c>
      <c r="D161" s="248"/>
      <c r="E161" s="243">
        <f>SUM(E162)</f>
        <v>8130</v>
      </c>
      <c r="F161" s="243">
        <f>SUM(F162:F163)</f>
        <v>25174</v>
      </c>
      <c r="G161" s="243">
        <f>SUM(G162:G163)</f>
        <v>23250.04</v>
      </c>
      <c r="H161" s="233">
        <f>SUM(H162:H163)</f>
        <v>15125.58</v>
      </c>
      <c r="I161" s="244">
        <f t="shared" si="5"/>
        <v>92.4</v>
      </c>
    </row>
    <row r="162" spans="1:9" ht="12.75">
      <c r="A162" s="232" t="s">
        <v>260</v>
      </c>
      <c r="B162" s="232"/>
      <c r="C162" s="245" t="s">
        <v>261</v>
      </c>
      <c r="D162" s="245" t="s">
        <v>117</v>
      </c>
      <c r="E162" s="233">
        <v>8130</v>
      </c>
      <c r="F162" s="197">
        <v>8130</v>
      </c>
      <c r="G162" s="197">
        <v>8124.46</v>
      </c>
      <c r="H162" s="233"/>
      <c r="I162" s="190">
        <f t="shared" si="5"/>
        <v>99.9</v>
      </c>
    </row>
    <row r="163" spans="1:9" ht="12.75">
      <c r="A163" s="232"/>
      <c r="B163" s="232"/>
      <c r="C163" s="245" t="s">
        <v>262</v>
      </c>
      <c r="D163" s="245" t="s">
        <v>117</v>
      </c>
      <c r="E163" s="233"/>
      <c r="F163" s="197">
        <v>17044</v>
      </c>
      <c r="G163" s="197">
        <v>15125.58</v>
      </c>
      <c r="H163" s="233">
        <v>15125.58</v>
      </c>
      <c r="I163" s="190">
        <f t="shared" si="5"/>
        <v>88.7</v>
      </c>
    </row>
    <row r="164" spans="1:9" ht="12.75">
      <c r="A164" s="232"/>
      <c r="B164" s="232"/>
      <c r="C164" s="255" t="s">
        <v>263</v>
      </c>
      <c r="D164" s="256"/>
      <c r="E164" s="257">
        <f aca="true" t="shared" si="6" ref="E164:H165">SUM(E165)</f>
        <v>150000</v>
      </c>
      <c r="F164" s="258">
        <f t="shared" si="6"/>
        <v>300000</v>
      </c>
      <c r="G164" s="258">
        <f t="shared" si="6"/>
        <v>72000</v>
      </c>
      <c r="H164" s="259">
        <f t="shared" si="6"/>
        <v>0</v>
      </c>
      <c r="I164" s="244">
        <f t="shared" si="5"/>
        <v>24</v>
      </c>
    </row>
    <row r="165" spans="1:9" ht="12.75">
      <c r="A165" s="232" t="s">
        <v>264</v>
      </c>
      <c r="B165" s="232"/>
      <c r="C165" s="255" t="s">
        <v>265</v>
      </c>
      <c r="D165" s="260"/>
      <c r="E165" s="261">
        <f t="shared" si="6"/>
        <v>150000</v>
      </c>
      <c r="F165" s="258">
        <f t="shared" si="6"/>
        <v>300000</v>
      </c>
      <c r="G165" s="258">
        <f t="shared" si="6"/>
        <v>72000</v>
      </c>
      <c r="H165" s="259">
        <f t="shared" si="6"/>
        <v>0</v>
      </c>
      <c r="I165" s="244">
        <f t="shared" si="5"/>
        <v>24</v>
      </c>
    </row>
    <row r="166" spans="1:9" ht="15" customHeight="1">
      <c r="A166" s="232" t="s">
        <v>266</v>
      </c>
      <c r="B166" s="232"/>
      <c r="C166" s="238" t="s">
        <v>267</v>
      </c>
      <c r="D166" s="235" t="s">
        <v>117</v>
      </c>
      <c r="E166" s="233">
        <v>150000</v>
      </c>
      <c r="F166" s="197">
        <f>150000+150000</f>
        <v>300000</v>
      </c>
      <c r="G166" s="197">
        <v>72000</v>
      </c>
      <c r="H166" s="197"/>
      <c r="I166" s="244">
        <f t="shared" si="5"/>
        <v>24</v>
      </c>
    </row>
    <row r="167" spans="1:10" ht="12.75">
      <c r="A167" s="232" t="s">
        <v>268</v>
      </c>
      <c r="B167" s="232"/>
      <c r="C167" s="240" t="s">
        <v>269</v>
      </c>
      <c r="D167" s="262"/>
      <c r="E167" s="182">
        <f>SUM(E168,E171,E184,E188,E207,E252)</f>
        <v>8414082</v>
      </c>
      <c r="F167" s="243">
        <f>SUM(F168,F171,F184,F188,F207,F252)</f>
        <v>11502028</v>
      </c>
      <c r="G167" s="243">
        <f>SUM(G168,G171,G184,G188,G207,G252)</f>
        <v>11739920.81</v>
      </c>
      <c r="H167" s="243">
        <f>SUM(H168,H171,H184,H188,H207,H252)</f>
        <v>2772201.89</v>
      </c>
      <c r="I167" s="244">
        <f t="shared" si="5"/>
        <v>102.1</v>
      </c>
      <c r="J167" s="263"/>
    </row>
    <row r="168" spans="1:10" ht="12.75">
      <c r="A168" s="232" t="s">
        <v>270</v>
      </c>
      <c r="B168" s="232"/>
      <c r="C168" s="181" t="s">
        <v>87</v>
      </c>
      <c r="D168" s="229"/>
      <c r="E168" s="182">
        <f aca="true" t="shared" si="7" ref="E168:H169">SUM(E169)</f>
        <v>286</v>
      </c>
      <c r="F168" s="243">
        <f t="shared" si="7"/>
        <v>286</v>
      </c>
      <c r="G168" s="243">
        <f t="shared" si="7"/>
        <v>286.02</v>
      </c>
      <c r="H168" s="243">
        <f t="shared" si="7"/>
        <v>16.14</v>
      </c>
      <c r="I168" s="244">
        <f t="shared" si="5"/>
        <v>100</v>
      </c>
      <c r="J168" s="263"/>
    </row>
    <row r="169" spans="1:10" ht="12.75">
      <c r="A169" s="232"/>
      <c r="B169" s="232"/>
      <c r="C169" s="246" t="s">
        <v>146</v>
      </c>
      <c r="D169" s="246"/>
      <c r="E169" s="236">
        <f t="shared" si="7"/>
        <v>286</v>
      </c>
      <c r="F169" s="247">
        <f t="shared" si="7"/>
        <v>286</v>
      </c>
      <c r="G169" s="247">
        <f t="shared" si="7"/>
        <v>286.02</v>
      </c>
      <c r="H169" s="247">
        <f t="shared" si="7"/>
        <v>16.14</v>
      </c>
      <c r="I169" s="244">
        <f t="shared" si="5"/>
        <v>100</v>
      </c>
      <c r="J169" s="263"/>
    </row>
    <row r="170" spans="1:10" ht="13.5" customHeight="1">
      <c r="A170" s="232"/>
      <c r="B170" s="232"/>
      <c r="C170" s="245" t="s">
        <v>271</v>
      </c>
      <c r="D170" s="245" t="s">
        <v>127</v>
      </c>
      <c r="E170" s="233">
        <v>286</v>
      </c>
      <c r="F170" s="197">
        <v>286</v>
      </c>
      <c r="G170" s="197">
        <v>286.02</v>
      </c>
      <c r="H170" s="197">
        <v>16.14</v>
      </c>
      <c r="I170" s="244">
        <f t="shared" si="5"/>
        <v>100</v>
      </c>
      <c r="J170" s="263"/>
    </row>
    <row r="171" spans="1:10" ht="12.75">
      <c r="A171" s="232"/>
      <c r="B171" s="232"/>
      <c r="C171" s="240" t="s">
        <v>91</v>
      </c>
      <c r="D171" s="262"/>
      <c r="E171" s="182">
        <f>SUM(E172,E175,E177)</f>
        <v>266000</v>
      </c>
      <c r="F171" s="243">
        <f>SUM(F172,F175,F177)</f>
        <v>500387</v>
      </c>
      <c r="G171" s="243">
        <f>SUM(G172,G175,G177)</f>
        <v>434668.5</v>
      </c>
      <c r="H171" s="243">
        <f>SUM(H172,H175,H177)</f>
        <v>240691.25</v>
      </c>
      <c r="I171" s="244">
        <f t="shared" si="5"/>
        <v>86.9</v>
      </c>
      <c r="J171" s="263"/>
    </row>
    <row r="172" spans="1:10" ht="12.75">
      <c r="A172" s="264" t="s">
        <v>272</v>
      </c>
      <c r="B172" s="264"/>
      <c r="C172" s="246" t="s">
        <v>273</v>
      </c>
      <c r="D172" s="246"/>
      <c r="E172" s="236">
        <f>SUM(E173,E174)</f>
        <v>90000</v>
      </c>
      <c r="F172" s="247">
        <f>SUM(F173,F174)</f>
        <v>8000</v>
      </c>
      <c r="G172" s="247">
        <f>SUM(G173,G174)</f>
        <v>0</v>
      </c>
      <c r="H172" s="253">
        <f>SUM(H173,H174)</f>
        <v>0</v>
      </c>
      <c r="I172" s="244">
        <f t="shared" si="5"/>
        <v>0</v>
      </c>
      <c r="J172" s="263"/>
    </row>
    <row r="173" spans="1:10" ht="10.5" customHeight="1">
      <c r="A173" s="264"/>
      <c r="B173" s="264"/>
      <c r="C173" s="245" t="s">
        <v>274</v>
      </c>
      <c r="D173" s="245" t="s">
        <v>117</v>
      </c>
      <c r="E173" s="233">
        <v>9000</v>
      </c>
      <c r="F173" s="197">
        <f>9000-8000</f>
        <v>1000</v>
      </c>
      <c r="G173" s="197">
        <f>SUM(H173)</f>
        <v>0</v>
      </c>
      <c r="H173" s="197"/>
      <c r="I173" s="190">
        <f t="shared" si="5"/>
        <v>0</v>
      </c>
      <c r="J173" s="263"/>
    </row>
    <row r="174" spans="1:10" ht="12.75">
      <c r="A174" s="264"/>
      <c r="B174" s="232" t="s">
        <v>135</v>
      </c>
      <c r="C174" s="245" t="s">
        <v>274</v>
      </c>
      <c r="D174" s="245" t="s">
        <v>117</v>
      </c>
      <c r="E174" s="233">
        <v>81000</v>
      </c>
      <c r="F174" s="197">
        <f>81000-74000</f>
        <v>7000</v>
      </c>
      <c r="G174" s="197">
        <f>SUM(H174)</f>
        <v>0</v>
      </c>
      <c r="H174" s="197"/>
      <c r="I174" s="190">
        <f t="shared" si="5"/>
        <v>0</v>
      </c>
      <c r="J174" s="263"/>
    </row>
    <row r="175" spans="1:10" ht="12.75">
      <c r="A175" s="264"/>
      <c r="B175" s="264"/>
      <c r="C175" s="246" t="s">
        <v>275</v>
      </c>
      <c r="D175" s="246"/>
      <c r="E175" s="236">
        <f>SUM(E176)</f>
        <v>100000</v>
      </c>
      <c r="F175" s="247">
        <f>SUM(F176)</f>
        <v>100000</v>
      </c>
      <c r="G175" s="247">
        <f>SUM(G176)</f>
        <v>100000</v>
      </c>
      <c r="H175" s="247"/>
      <c r="I175" s="244">
        <f t="shared" si="5"/>
        <v>100</v>
      </c>
      <c r="J175" s="263"/>
    </row>
    <row r="176" spans="1:10" ht="12.75">
      <c r="A176" s="264"/>
      <c r="B176" s="264"/>
      <c r="C176" s="245" t="s">
        <v>276</v>
      </c>
      <c r="D176" s="245" t="s">
        <v>125</v>
      </c>
      <c r="E176" s="233">
        <v>100000</v>
      </c>
      <c r="F176" s="197">
        <v>100000</v>
      </c>
      <c r="G176" s="197">
        <v>100000</v>
      </c>
      <c r="H176" s="197"/>
      <c r="I176" s="244">
        <f t="shared" si="5"/>
        <v>100</v>
      </c>
      <c r="J176" s="263"/>
    </row>
    <row r="177" spans="1:10" ht="12.75">
      <c r="A177" s="264"/>
      <c r="B177" s="264"/>
      <c r="C177" s="246" t="s">
        <v>277</v>
      </c>
      <c r="D177" s="246"/>
      <c r="E177" s="236">
        <f>SUM(E178,E179)</f>
        <v>76000</v>
      </c>
      <c r="F177" s="247">
        <f>SUM(F178:F183)</f>
        <v>392387</v>
      </c>
      <c r="G177" s="247">
        <f>SUM(G178:G183)</f>
        <v>334668.5</v>
      </c>
      <c r="H177" s="247">
        <f>SUM(H178:H183)</f>
        <v>240691.25</v>
      </c>
      <c r="I177" s="244">
        <f t="shared" si="5"/>
        <v>85.3</v>
      </c>
      <c r="J177" s="263"/>
    </row>
    <row r="178" spans="1:10" ht="12.75">
      <c r="A178" s="232" t="s">
        <v>278</v>
      </c>
      <c r="B178" s="232"/>
      <c r="C178" s="245" t="s">
        <v>279</v>
      </c>
      <c r="D178" s="250" t="s">
        <v>117</v>
      </c>
      <c r="E178" s="233">
        <v>51000</v>
      </c>
      <c r="F178" s="197">
        <v>51000</v>
      </c>
      <c r="G178" s="197">
        <v>43830.84</v>
      </c>
      <c r="H178" s="197">
        <v>16718.44</v>
      </c>
      <c r="I178" s="190">
        <f t="shared" si="5"/>
        <v>85.9</v>
      </c>
      <c r="J178" s="263"/>
    </row>
    <row r="179" spans="1:10" ht="12.75">
      <c r="A179" s="232"/>
      <c r="B179" s="232"/>
      <c r="C179" s="245" t="s">
        <v>280</v>
      </c>
      <c r="D179" s="250" t="s">
        <v>117</v>
      </c>
      <c r="E179" s="233">
        <v>25000</v>
      </c>
      <c r="F179" s="197">
        <f>25000+20000</f>
        <v>45000</v>
      </c>
      <c r="G179" s="197">
        <v>45319.04</v>
      </c>
      <c r="H179" s="197">
        <v>25500.72</v>
      </c>
      <c r="I179" s="190">
        <f t="shared" si="5"/>
        <v>100.7</v>
      </c>
      <c r="J179" s="263"/>
    </row>
    <row r="180" spans="1:10" ht="12.75">
      <c r="A180" s="232"/>
      <c r="B180" s="232"/>
      <c r="C180" s="245" t="s">
        <v>281</v>
      </c>
      <c r="D180" s="250" t="s">
        <v>117</v>
      </c>
      <c r="E180" s="233"/>
      <c r="F180" s="197">
        <v>38347</v>
      </c>
      <c r="G180" s="197"/>
      <c r="H180" s="197"/>
      <c r="I180" s="190">
        <f t="shared" si="5"/>
        <v>0</v>
      </c>
      <c r="J180" s="263"/>
    </row>
    <row r="181" spans="1:10" ht="12.75">
      <c r="A181" s="232"/>
      <c r="B181" s="232"/>
      <c r="C181" s="245" t="s">
        <v>282</v>
      </c>
      <c r="D181" s="250" t="s">
        <v>117</v>
      </c>
      <c r="E181" s="233"/>
      <c r="F181" s="197">
        <v>30040</v>
      </c>
      <c r="G181" s="197">
        <v>30035.78</v>
      </c>
      <c r="H181" s="197">
        <v>5993.36</v>
      </c>
      <c r="I181" s="190">
        <f t="shared" si="5"/>
        <v>100</v>
      </c>
      <c r="J181" s="263"/>
    </row>
    <row r="182" spans="1:10" ht="12.75">
      <c r="A182" s="232"/>
      <c r="B182" s="232"/>
      <c r="C182" s="245" t="s">
        <v>283</v>
      </c>
      <c r="D182" s="250" t="s">
        <v>117</v>
      </c>
      <c r="E182" s="233"/>
      <c r="F182" s="197">
        <v>200000</v>
      </c>
      <c r="G182" s="197">
        <v>187482.91</v>
      </c>
      <c r="H182" s="197">
        <v>166794.8</v>
      </c>
      <c r="I182" s="190">
        <f t="shared" si="5"/>
        <v>93.7</v>
      </c>
      <c r="J182" s="263"/>
    </row>
    <row r="183" spans="1:10" ht="12.75">
      <c r="A183" s="232"/>
      <c r="B183" s="232"/>
      <c r="C183" s="245" t="s">
        <v>284</v>
      </c>
      <c r="D183" s="250" t="s">
        <v>117</v>
      </c>
      <c r="E183" s="233"/>
      <c r="F183" s="197">
        <v>28000</v>
      </c>
      <c r="G183" s="197">
        <v>27999.93</v>
      </c>
      <c r="H183" s="197">
        <v>25683.93</v>
      </c>
      <c r="I183" s="190">
        <f t="shared" si="5"/>
        <v>100</v>
      </c>
      <c r="J183" s="263"/>
    </row>
    <row r="184" spans="1:10" ht="12.75">
      <c r="A184" s="232"/>
      <c r="B184" s="232"/>
      <c r="C184" s="240" t="s">
        <v>118</v>
      </c>
      <c r="D184" s="246"/>
      <c r="E184" s="236">
        <f>SUM(E185)</f>
        <v>100000</v>
      </c>
      <c r="F184" s="247">
        <f>SUM(F185)</f>
        <v>247280</v>
      </c>
      <c r="G184" s="247">
        <f>SUM(G185)</f>
        <v>246328.25</v>
      </c>
      <c r="H184" s="247">
        <f>SUM(H185)</f>
        <v>43387</v>
      </c>
      <c r="I184" s="244">
        <f t="shared" si="5"/>
        <v>99.6</v>
      </c>
      <c r="J184" s="263"/>
    </row>
    <row r="185" spans="1:10" ht="12.75">
      <c r="A185" s="232" t="s">
        <v>285</v>
      </c>
      <c r="B185" s="232"/>
      <c r="C185" s="246" t="s">
        <v>286</v>
      </c>
      <c r="D185" s="246"/>
      <c r="E185" s="236">
        <f>SUM(E186,E187)</f>
        <v>100000</v>
      </c>
      <c r="F185" s="247">
        <f>SUM(F186,F187)</f>
        <v>247280</v>
      </c>
      <c r="G185" s="247">
        <f>SUM(G186,G187)</f>
        <v>246328.25</v>
      </c>
      <c r="H185" s="247">
        <f>SUM(H186,H187)</f>
        <v>43387</v>
      </c>
      <c r="I185" s="244">
        <f t="shared" si="5"/>
        <v>99.6</v>
      </c>
      <c r="J185" s="263"/>
    </row>
    <row r="186" spans="1:10" ht="16.5" customHeight="1">
      <c r="A186" s="232" t="s">
        <v>287</v>
      </c>
      <c r="B186" s="232"/>
      <c r="C186" s="249" t="s">
        <v>288</v>
      </c>
      <c r="D186" s="254" t="s">
        <v>117</v>
      </c>
      <c r="E186" s="233">
        <v>50000</v>
      </c>
      <c r="F186" s="197">
        <f>50000+20000+25000</f>
        <v>95000</v>
      </c>
      <c r="G186" s="197">
        <v>93560.33</v>
      </c>
      <c r="H186" s="197">
        <v>30782.3</v>
      </c>
      <c r="I186" s="190">
        <f t="shared" si="5"/>
        <v>98.5</v>
      </c>
      <c r="J186" s="263"/>
    </row>
    <row r="187" spans="1:10" ht="13.5" customHeight="1">
      <c r="A187" s="232"/>
      <c r="B187" s="232"/>
      <c r="C187" s="245" t="s">
        <v>289</v>
      </c>
      <c r="D187" s="254" t="s">
        <v>117</v>
      </c>
      <c r="E187" s="233">
        <v>50000</v>
      </c>
      <c r="F187" s="197">
        <f>50000+95780+6500</f>
        <v>152280</v>
      </c>
      <c r="G187" s="197">
        <v>152767.92</v>
      </c>
      <c r="H187" s="197">
        <v>12604.7</v>
      </c>
      <c r="I187" s="190">
        <f t="shared" si="5"/>
        <v>100.3</v>
      </c>
      <c r="J187" s="263"/>
    </row>
    <row r="188" spans="1:10" ht="12.75">
      <c r="A188" s="232"/>
      <c r="B188" s="239"/>
      <c r="C188" s="240" t="s">
        <v>290</v>
      </c>
      <c r="D188" s="262"/>
      <c r="E188" s="182">
        <f>SUM(E189,E196,E199,E202,E205)</f>
        <v>592277</v>
      </c>
      <c r="F188" s="243">
        <f>SUM(F189,F194,F196,F199,F202,F205)</f>
        <v>2198017</v>
      </c>
      <c r="G188" s="243">
        <f>SUM(G189,G196,G199,G202,G205,G194)</f>
        <v>2488178.14</v>
      </c>
      <c r="H188" s="243">
        <f>SUM(H189,H196,H199,H202,H205,H194)</f>
        <v>540861.1900000001</v>
      </c>
      <c r="I188" s="244">
        <f aca="true" t="shared" si="8" ref="I188:I300">ROUND(G188/F188*100,1)</f>
        <v>113.2</v>
      </c>
      <c r="J188" s="263"/>
    </row>
    <row r="189" spans="1:10" ht="12.75">
      <c r="A189" s="232" t="s">
        <v>291</v>
      </c>
      <c r="B189" s="232"/>
      <c r="C189" s="246" t="s">
        <v>166</v>
      </c>
      <c r="D189" s="246"/>
      <c r="E189" s="183">
        <f>SUM(E190)</f>
        <v>100000</v>
      </c>
      <c r="F189" s="243">
        <f>SUM(F190:F193)</f>
        <v>535700</v>
      </c>
      <c r="G189" s="243">
        <f>SUM(G190:G193)</f>
        <v>544045.43</v>
      </c>
      <c r="H189" s="243">
        <f>SUM(H190:H193)</f>
        <v>270018.34</v>
      </c>
      <c r="I189" s="244">
        <f t="shared" si="8"/>
        <v>101.6</v>
      </c>
      <c r="J189" s="263"/>
    </row>
    <row r="190" spans="1:10" ht="14.25" customHeight="1">
      <c r="A190" s="232" t="s">
        <v>292</v>
      </c>
      <c r="B190" s="232"/>
      <c r="C190" s="249" t="s">
        <v>293</v>
      </c>
      <c r="D190" s="254" t="s">
        <v>117</v>
      </c>
      <c r="E190" s="233">
        <v>100000</v>
      </c>
      <c r="F190" s="197">
        <f>100000+8344+31000-20000</f>
        <v>119344</v>
      </c>
      <c r="G190" s="197">
        <v>111234.4</v>
      </c>
      <c r="H190" s="197">
        <v>81142.99</v>
      </c>
      <c r="I190" s="190">
        <f t="shared" si="8"/>
        <v>93.2</v>
      </c>
      <c r="J190" s="263"/>
    </row>
    <row r="191" spans="1:10" ht="17.25" customHeight="1">
      <c r="A191" s="232"/>
      <c r="B191" s="252" t="s">
        <v>135</v>
      </c>
      <c r="C191" s="249" t="s">
        <v>293</v>
      </c>
      <c r="D191" s="254" t="s">
        <v>117</v>
      </c>
      <c r="E191" s="233"/>
      <c r="F191" s="197">
        <f>10800+59800+167000+88000</f>
        <v>325600</v>
      </c>
      <c r="G191" s="197">
        <v>341361.73</v>
      </c>
      <c r="H191" s="197">
        <v>188181.85</v>
      </c>
      <c r="I191" s="190">
        <f t="shared" si="8"/>
        <v>104.8</v>
      </c>
      <c r="J191" s="263"/>
    </row>
    <row r="192" spans="1:10" ht="17.25" customHeight="1">
      <c r="A192" s="232"/>
      <c r="B192" s="252"/>
      <c r="C192" s="249" t="s">
        <v>294</v>
      </c>
      <c r="D192" s="254" t="s">
        <v>117</v>
      </c>
      <c r="E192" s="233"/>
      <c r="F192" s="197">
        <v>20000</v>
      </c>
      <c r="G192" s="197">
        <v>20000</v>
      </c>
      <c r="H192" s="197"/>
      <c r="I192" s="190">
        <f>ROUND(G192/F192*100,1)</f>
        <v>100</v>
      </c>
      <c r="J192" s="263"/>
    </row>
    <row r="193" spans="1:10" ht="16.5" customHeight="1">
      <c r="A193" s="232"/>
      <c r="B193" s="265" t="s">
        <v>295</v>
      </c>
      <c r="C193" s="266" t="s">
        <v>296</v>
      </c>
      <c r="D193" s="267" t="s">
        <v>117</v>
      </c>
      <c r="E193" s="201"/>
      <c r="F193" s="198">
        <v>70756</v>
      </c>
      <c r="G193" s="198">
        <v>71449.3</v>
      </c>
      <c r="H193" s="198">
        <v>693.5</v>
      </c>
      <c r="I193" s="199">
        <f t="shared" si="8"/>
        <v>101</v>
      </c>
      <c r="J193" s="263"/>
    </row>
    <row r="194" spans="1:10" ht="12.75">
      <c r="A194" s="232"/>
      <c r="B194" s="268"/>
      <c r="C194" s="269" t="s">
        <v>162</v>
      </c>
      <c r="D194" s="270"/>
      <c r="E194" s="216"/>
      <c r="F194" s="205">
        <f>SUM(F195)</f>
        <v>835989</v>
      </c>
      <c r="G194" s="205">
        <f>SUM(G195)</f>
        <v>835989</v>
      </c>
      <c r="H194" s="189"/>
      <c r="I194" s="271">
        <f t="shared" si="8"/>
        <v>100</v>
      </c>
      <c r="J194" s="263"/>
    </row>
    <row r="195" spans="1:10" ht="12" customHeight="1">
      <c r="A195" s="232"/>
      <c r="B195" s="268"/>
      <c r="C195" s="272" t="s">
        <v>297</v>
      </c>
      <c r="D195" s="270" t="s">
        <v>125</v>
      </c>
      <c r="E195" s="216"/>
      <c r="F195" s="189">
        <v>835989</v>
      </c>
      <c r="G195" s="189">
        <v>835989</v>
      </c>
      <c r="H195" s="189"/>
      <c r="I195" s="273">
        <f t="shared" si="8"/>
        <v>100</v>
      </c>
      <c r="J195" s="263"/>
    </row>
    <row r="196" spans="1:10" ht="12.75">
      <c r="A196" s="232"/>
      <c r="B196" s="232"/>
      <c r="C196" s="274" t="s">
        <v>298</v>
      </c>
      <c r="D196" s="274"/>
      <c r="E196" s="183">
        <f>SUM(E197)</f>
        <v>127800</v>
      </c>
      <c r="F196" s="243">
        <f>SUM(F197,F198)</f>
        <v>296851</v>
      </c>
      <c r="G196" s="243">
        <f>SUM(G197,G198)</f>
        <v>599650.71</v>
      </c>
      <c r="H196" s="243">
        <f>SUM(H197,H198)</f>
        <v>210400.85</v>
      </c>
      <c r="I196" s="244">
        <f t="shared" si="8"/>
        <v>202</v>
      </c>
      <c r="J196" s="263"/>
    </row>
    <row r="197" spans="1:10" ht="10.5" customHeight="1">
      <c r="A197" s="232"/>
      <c r="B197" s="232"/>
      <c r="C197" s="249" t="s">
        <v>299</v>
      </c>
      <c r="D197" s="254" t="s">
        <v>117</v>
      </c>
      <c r="E197" s="233">
        <v>127800</v>
      </c>
      <c r="F197" s="197">
        <f>127800+98551</f>
        <v>226351</v>
      </c>
      <c r="G197" s="197">
        <v>64068.75</v>
      </c>
      <c r="H197" s="197">
        <v>10284.56</v>
      </c>
      <c r="I197" s="190">
        <f t="shared" si="8"/>
        <v>28.3</v>
      </c>
      <c r="J197" s="263"/>
    </row>
    <row r="198" spans="1:10" ht="14.25" customHeight="1">
      <c r="A198" s="232"/>
      <c r="B198" s="252" t="s">
        <v>135</v>
      </c>
      <c r="C198" s="249" t="s">
        <v>299</v>
      </c>
      <c r="D198" s="254" t="s">
        <v>117</v>
      </c>
      <c r="E198" s="233"/>
      <c r="F198" s="197">
        <f>56600+13900</f>
        <v>70500</v>
      </c>
      <c r="G198" s="197">
        <v>535581.96</v>
      </c>
      <c r="H198" s="197">
        <v>200116.29</v>
      </c>
      <c r="I198" s="190">
        <f t="shared" si="8"/>
        <v>759.7</v>
      </c>
      <c r="J198" s="263"/>
    </row>
    <row r="199" spans="1:10" ht="12.75">
      <c r="A199" s="232"/>
      <c r="B199" s="232"/>
      <c r="C199" s="274" t="s">
        <v>300</v>
      </c>
      <c r="D199" s="274"/>
      <c r="E199" s="183">
        <f>SUM(E200)</f>
        <v>66915</v>
      </c>
      <c r="F199" s="243">
        <f>SUM(F200:F201)</f>
        <v>226915</v>
      </c>
      <c r="G199" s="243">
        <f>SUM(G200:G201)</f>
        <v>205931</v>
      </c>
      <c r="H199" s="243">
        <f>SUM(H200:H201)</f>
        <v>60442</v>
      </c>
      <c r="I199" s="184">
        <f t="shared" si="8"/>
        <v>90.8</v>
      </c>
      <c r="J199" s="263"/>
    </row>
    <row r="200" spans="1:10" ht="12" customHeight="1">
      <c r="A200" s="232" t="s">
        <v>301</v>
      </c>
      <c r="B200" s="232"/>
      <c r="C200" s="249" t="s">
        <v>302</v>
      </c>
      <c r="D200" s="254" t="s">
        <v>117</v>
      </c>
      <c r="E200" s="233">
        <v>66915</v>
      </c>
      <c r="F200" s="197">
        <v>66915</v>
      </c>
      <c r="G200" s="197">
        <v>45931</v>
      </c>
      <c r="H200" s="197"/>
      <c r="I200" s="190">
        <f t="shared" si="8"/>
        <v>68.6</v>
      </c>
      <c r="J200" s="263"/>
    </row>
    <row r="201" spans="1:10" ht="11.25" customHeight="1">
      <c r="A201" s="232"/>
      <c r="B201" s="232"/>
      <c r="C201" s="249" t="s">
        <v>303</v>
      </c>
      <c r="D201" s="254" t="s">
        <v>117</v>
      </c>
      <c r="E201" s="233"/>
      <c r="F201" s="197">
        <v>160000</v>
      </c>
      <c r="G201" s="197">
        <v>160000</v>
      </c>
      <c r="H201" s="197">
        <v>60442</v>
      </c>
      <c r="I201" s="190">
        <f t="shared" si="8"/>
        <v>100</v>
      </c>
      <c r="J201" s="263"/>
    </row>
    <row r="202" spans="1:10" ht="12.75">
      <c r="A202" s="232"/>
      <c r="B202" s="232"/>
      <c r="C202" s="234" t="s">
        <v>304</v>
      </c>
      <c r="D202" s="234"/>
      <c r="E202" s="183">
        <f>SUM(E203)</f>
        <v>158912</v>
      </c>
      <c r="F202" s="243">
        <f>SUM(F203:F204)</f>
        <v>163912</v>
      </c>
      <c r="G202" s="243">
        <f>SUM(G203:G204)</f>
        <v>163912</v>
      </c>
      <c r="H202" s="243">
        <f>SUM(H203:H204)</f>
        <v>0</v>
      </c>
      <c r="I202" s="244">
        <f t="shared" si="8"/>
        <v>100</v>
      </c>
      <c r="J202" s="263"/>
    </row>
    <row r="203" spans="1:10" ht="12.75">
      <c r="A203" s="232"/>
      <c r="B203" s="232"/>
      <c r="C203" s="180" t="s">
        <v>305</v>
      </c>
      <c r="D203" s="180" t="s">
        <v>125</v>
      </c>
      <c r="E203" s="233">
        <v>158912</v>
      </c>
      <c r="F203" s="197">
        <v>158912</v>
      </c>
      <c r="G203" s="197">
        <v>158912</v>
      </c>
      <c r="H203" s="197"/>
      <c r="I203" s="190">
        <f t="shared" si="8"/>
        <v>100</v>
      </c>
      <c r="J203" s="263"/>
    </row>
    <row r="204" spans="1:10" ht="12.75">
      <c r="A204" s="232"/>
      <c r="B204" s="232"/>
      <c r="C204" s="180" t="s">
        <v>306</v>
      </c>
      <c r="D204" s="180" t="s">
        <v>125</v>
      </c>
      <c r="E204" s="233"/>
      <c r="F204" s="197">
        <v>5000</v>
      </c>
      <c r="G204" s="197">
        <v>5000</v>
      </c>
      <c r="H204" s="197"/>
      <c r="I204" s="190">
        <f t="shared" si="8"/>
        <v>100</v>
      </c>
      <c r="J204" s="263"/>
    </row>
    <row r="205" spans="1:10" ht="12.75">
      <c r="A205" s="232"/>
      <c r="B205" s="232"/>
      <c r="C205" s="234" t="s">
        <v>134</v>
      </c>
      <c r="D205" s="234"/>
      <c r="E205" s="183">
        <f>SUM(E206)</f>
        <v>138650</v>
      </c>
      <c r="F205" s="243">
        <f>SUM(F206)</f>
        <v>138650</v>
      </c>
      <c r="G205" s="243">
        <f>SUM(G206)</f>
        <v>138650</v>
      </c>
      <c r="H205" s="243"/>
      <c r="I205" s="244">
        <f t="shared" si="8"/>
        <v>100</v>
      </c>
      <c r="J205" s="263"/>
    </row>
    <row r="206" spans="1:10" ht="12.75">
      <c r="A206" s="232" t="s">
        <v>307</v>
      </c>
      <c r="B206" s="232"/>
      <c r="C206" s="180" t="s">
        <v>308</v>
      </c>
      <c r="D206" s="180" t="s">
        <v>125</v>
      </c>
      <c r="E206" s="233">
        <v>138650</v>
      </c>
      <c r="F206" s="197">
        <v>138650</v>
      </c>
      <c r="G206" s="197">
        <v>138650</v>
      </c>
      <c r="H206" s="197"/>
      <c r="I206" s="190">
        <f t="shared" si="8"/>
        <v>100</v>
      </c>
      <c r="J206" s="263"/>
    </row>
    <row r="207" spans="1:10" ht="12.75">
      <c r="A207" s="232"/>
      <c r="B207" s="232"/>
      <c r="C207" s="181" t="s">
        <v>101</v>
      </c>
      <c r="D207" s="181"/>
      <c r="E207" s="183">
        <f>SUM(E208,E221,E226,E238,E240,E247)</f>
        <v>7451337</v>
      </c>
      <c r="F207" s="243">
        <f>SUM(F208,F221,F226,F238,F240,F247)</f>
        <v>8429429</v>
      </c>
      <c r="G207" s="243">
        <f>SUM(G208,G221,G226,G238,G240,G247)</f>
        <v>8481563.870000001</v>
      </c>
      <c r="H207" s="243">
        <f>SUM(H208,H221,H226,H238,H240,H247)</f>
        <v>1946999.3900000001</v>
      </c>
      <c r="I207" s="244">
        <f t="shared" si="8"/>
        <v>100.6</v>
      </c>
      <c r="J207" s="263"/>
    </row>
    <row r="208" spans="1:10" ht="12.75">
      <c r="A208" s="232" t="s">
        <v>309</v>
      </c>
      <c r="B208" s="232"/>
      <c r="C208" s="234" t="s">
        <v>150</v>
      </c>
      <c r="D208" s="234"/>
      <c r="E208" s="183">
        <f>SUM(E216,E217)</f>
        <v>1003164</v>
      </c>
      <c r="F208" s="243">
        <f>SUM(F209:F220)</f>
        <v>1899668</v>
      </c>
      <c r="G208" s="243">
        <f>SUM(G209,G216,G217,G218,G219,G220)</f>
        <v>1918300.06</v>
      </c>
      <c r="H208" s="243">
        <f>SUM(H209:H220)</f>
        <v>530735.3800000001</v>
      </c>
      <c r="I208" s="244">
        <f t="shared" si="8"/>
        <v>101</v>
      </c>
      <c r="J208" s="263"/>
    </row>
    <row r="209" spans="1:10" ht="12.75">
      <c r="A209" s="232"/>
      <c r="B209" s="265" t="s">
        <v>295</v>
      </c>
      <c r="C209" s="200" t="s">
        <v>310</v>
      </c>
      <c r="D209" s="200" t="s">
        <v>117</v>
      </c>
      <c r="E209" s="275"/>
      <c r="F209" s="201">
        <f>70000+50000+900000+170000+213000</f>
        <v>1403000</v>
      </c>
      <c r="G209" s="201">
        <v>1473096.54</v>
      </c>
      <c r="H209" s="201">
        <v>296028.89</v>
      </c>
      <c r="I209" s="199">
        <f t="shared" si="8"/>
        <v>105</v>
      </c>
      <c r="J209" s="263"/>
    </row>
    <row r="210" spans="1:10" ht="12.75">
      <c r="A210" s="232"/>
      <c r="B210" s="252"/>
      <c r="C210" s="180" t="s">
        <v>311</v>
      </c>
      <c r="D210" s="180"/>
      <c r="E210" s="183"/>
      <c r="F210" s="233"/>
      <c r="G210" s="233">
        <v>111313.16</v>
      </c>
      <c r="H210" s="233"/>
      <c r="I210" s="190"/>
      <c r="J210" s="263"/>
    </row>
    <row r="211" spans="1:10" ht="12.75">
      <c r="A211" s="232"/>
      <c r="B211" s="252"/>
      <c r="C211" s="180" t="s">
        <v>312</v>
      </c>
      <c r="D211" s="180"/>
      <c r="E211" s="183"/>
      <c r="F211" s="233"/>
      <c r="G211" s="233">
        <v>230795.52</v>
      </c>
      <c r="H211" s="233"/>
      <c r="I211" s="190"/>
      <c r="J211" s="263"/>
    </row>
    <row r="212" spans="1:10" ht="12.75">
      <c r="A212" s="232"/>
      <c r="B212" s="252"/>
      <c r="C212" s="180" t="s">
        <v>313</v>
      </c>
      <c r="D212" s="180"/>
      <c r="E212" s="183"/>
      <c r="F212" s="233"/>
      <c r="G212" s="233">
        <v>188578.9</v>
      </c>
      <c r="H212" s="233"/>
      <c r="I212" s="190"/>
      <c r="J212" s="263"/>
    </row>
    <row r="213" spans="1:10" ht="35.25" customHeight="1">
      <c r="A213" s="232"/>
      <c r="B213" s="252"/>
      <c r="C213" s="235" t="s">
        <v>314</v>
      </c>
      <c r="D213" s="180"/>
      <c r="E213" s="183"/>
      <c r="F213" s="233"/>
      <c r="G213" s="233">
        <v>372845.01</v>
      </c>
      <c r="H213" s="233"/>
      <c r="I213" s="190"/>
      <c r="J213" s="263"/>
    </row>
    <row r="214" spans="1:10" ht="12.75">
      <c r="A214" s="232"/>
      <c r="B214" s="252"/>
      <c r="C214" s="180" t="s">
        <v>315</v>
      </c>
      <c r="D214" s="180"/>
      <c r="E214" s="183"/>
      <c r="F214" s="233"/>
      <c r="G214" s="233">
        <v>210674</v>
      </c>
      <c r="H214" s="233"/>
      <c r="I214" s="190"/>
      <c r="J214" s="263"/>
    </row>
    <row r="215" spans="1:10" ht="12.75">
      <c r="A215" s="232"/>
      <c r="B215" s="252"/>
      <c r="C215" s="180" t="s">
        <v>316</v>
      </c>
      <c r="D215" s="180"/>
      <c r="E215" s="183"/>
      <c r="F215" s="233"/>
      <c r="G215" s="233">
        <v>358889.95</v>
      </c>
      <c r="H215" s="233"/>
      <c r="I215" s="190"/>
      <c r="J215" s="263"/>
    </row>
    <row r="216" spans="1:10" ht="16.5" customHeight="1">
      <c r="A216" s="232" t="s">
        <v>317</v>
      </c>
      <c r="B216" s="232"/>
      <c r="C216" s="180" t="s">
        <v>318</v>
      </c>
      <c r="D216" s="180" t="s">
        <v>117</v>
      </c>
      <c r="E216" s="233">
        <v>906164</v>
      </c>
      <c r="F216" s="197">
        <f>906164+45000-600000</f>
        <v>351164</v>
      </c>
      <c r="G216" s="197">
        <v>355001.7</v>
      </c>
      <c r="H216" s="197">
        <v>177382.53</v>
      </c>
      <c r="I216" s="190">
        <f t="shared" si="8"/>
        <v>101.1</v>
      </c>
      <c r="J216" s="263"/>
    </row>
    <row r="217" spans="1:10" ht="12.75">
      <c r="A217" s="232"/>
      <c r="B217" s="232"/>
      <c r="C217" s="180" t="s">
        <v>319</v>
      </c>
      <c r="D217" s="180" t="s">
        <v>117</v>
      </c>
      <c r="E217" s="233">
        <v>97000</v>
      </c>
      <c r="F217" s="197">
        <v>97000</v>
      </c>
      <c r="G217" s="197">
        <v>71703.35</v>
      </c>
      <c r="H217" s="197">
        <v>50394.96</v>
      </c>
      <c r="I217" s="190">
        <f t="shared" si="8"/>
        <v>73.9</v>
      </c>
      <c r="J217" s="263"/>
    </row>
    <row r="218" spans="1:10" ht="12.75">
      <c r="A218" s="232"/>
      <c r="B218" s="232"/>
      <c r="C218" s="180" t="s">
        <v>320</v>
      </c>
      <c r="D218" s="180" t="s">
        <v>117</v>
      </c>
      <c r="E218" s="233"/>
      <c r="F218" s="197">
        <v>7000</v>
      </c>
      <c r="G218" s="197">
        <v>6998</v>
      </c>
      <c r="H218" s="197">
        <v>6929</v>
      </c>
      <c r="I218" s="190">
        <f t="shared" si="8"/>
        <v>100</v>
      </c>
      <c r="J218" s="263"/>
    </row>
    <row r="219" spans="1:10" ht="12.75">
      <c r="A219" s="232"/>
      <c r="B219" s="232"/>
      <c r="C219" s="180" t="s">
        <v>321</v>
      </c>
      <c r="D219" s="180" t="s">
        <v>117</v>
      </c>
      <c r="E219" s="233"/>
      <c r="F219" s="197">
        <v>30000</v>
      </c>
      <c r="G219" s="197"/>
      <c r="H219" s="197"/>
      <c r="I219" s="190"/>
      <c r="J219" s="263"/>
    </row>
    <row r="220" spans="1:10" ht="12.75">
      <c r="A220" s="232"/>
      <c r="B220" s="232" t="s">
        <v>135</v>
      </c>
      <c r="C220" s="180" t="s">
        <v>322</v>
      </c>
      <c r="D220" s="180" t="s">
        <v>117</v>
      </c>
      <c r="E220" s="233"/>
      <c r="F220" s="197">
        <v>11504</v>
      </c>
      <c r="G220" s="197">
        <v>11500.47</v>
      </c>
      <c r="H220" s="197"/>
      <c r="I220" s="190">
        <f t="shared" si="8"/>
        <v>100</v>
      </c>
      <c r="J220" s="263"/>
    </row>
    <row r="221" spans="1:10" ht="12.75">
      <c r="A221" s="232"/>
      <c r="B221" s="232"/>
      <c r="C221" s="234" t="s">
        <v>323</v>
      </c>
      <c r="D221" s="234"/>
      <c r="E221" s="236">
        <f>SUM(E222,E224)</f>
        <v>203000</v>
      </c>
      <c r="F221" s="247">
        <f>SUM(F222:F225)</f>
        <v>841786</v>
      </c>
      <c r="G221" s="247">
        <f>SUM(G222:G225)</f>
        <v>841739.89</v>
      </c>
      <c r="H221" s="247">
        <f>SUM(H222:H225)</f>
        <v>23339.05</v>
      </c>
      <c r="I221" s="244">
        <f t="shared" si="8"/>
        <v>100</v>
      </c>
      <c r="J221" s="263"/>
    </row>
    <row r="222" spans="1:10" ht="12.75">
      <c r="A222" s="232"/>
      <c r="B222" s="232"/>
      <c r="C222" s="180" t="s">
        <v>324</v>
      </c>
      <c r="D222" s="180" t="s">
        <v>117</v>
      </c>
      <c r="E222" s="233">
        <v>40000</v>
      </c>
      <c r="F222" s="197">
        <f>40000+7566</f>
        <v>47566</v>
      </c>
      <c r="G222" s="197">
        <v>47459</v>
      </c>
      <c r="H222" s="197">
        <v>1100</v>
      </c>
      <c r="I222" s="190">
        <f t="shared" si="8"/>
        <v>99.8</v>
      </c>
      <c r="J222" s="263"/>
    </row>
    <row r="223" spans="1:10" ht="33.75">
      <c r="A223" s="232"/>
      <c r="B223" s="265" t="s">
        <v>295</v>
      </c>
      <c r="C223" s="276" t="s">
        <v>325</v>
      </c>
      <c r="D223" s="180" t="s">
        <v>117</v>
      </c>
      <c r="E223" s="201"/>
      <c r="F223" s="198">
        <v>1220</v>
      </c>
      <c r="G223" s="198">
        <v>1285</v>
      </c>
      <c r="H223" s="198">
        <v>64.25</v>
      </c>
      <c r="I223" s="199">
        <f t="shared" si="8"/>
        <v>105.3</v>
      </c>
      <c r="J223" s="263"/>
    </row>
    <row r="224" spans="1:10" ht="12.75">
      <c r="A224" s="232"/>
      <c r="B224" s="232"/>
      <c r="C224" s="277" t="s">
        <v>326</v>
      </c>
      <c r="D224" s="180" t="s">
        <v>117</v>
      </c>
      <c r="E224" s="278">
        <v>163000</v>
      </c>
      <c r="F224" s="278">
        <v>163000</v>
      </c>
      <c r="G224" s="278">
        <v>162993.12</v>
      </c>
      <c r="H224" s="197">
        <v>22174.8</v>
      </c>
      <c r="I224" s="273">
        <f t="shared" si="8"/>
        <v>100</v>
      </c>
      <c r="J224" s="263"/>
    </row>
    <row r="225" spans="1:10" ht="12.75">
      <c r="A225" s="232"/>
      <c r="B225" s="232"/>
      <c r="C225" s="277" t="s">
        <v>327</v>
      </c>
      <c r="D225" s="180" t="s">
        <v>117</v>
      </c>
      <c r="E225" s="278"/>
      <c r="F225" s="278">
        <v>630000</v>
      </c>
      <c r="G225" s="197">
        <v>630002.77</v>
      </c>
      <c r="H225" s="197"/>
      <c r="I225" s="273">
        <f t="shared" si="8"/>
        <v>100</v>
      </c>
      <c r="J225" s="263"/>
    </row>
    <row r="226" spans="1:10" ht="12.75">
      <c r="A226" s="232"/>
      <c r="B226" s="232"/>
      <c r="C226" s="279" t="s">
        <v>328</v>
      </c>
      <c r="D226" s="279"/>
      <c r="E226" s="280">
        <f>SUM(E227)</f>
        <v>48740</v>
      </c>
      <c r="F226" s="280">
        <f>SUM(F227:F237)</f>
        <v>3294740</v>
      </c>
      <c r="G226" s="280">
        <f>SUM(G227,G228,G235,G236,G237)</f>
        <v>3823541.99</v>
      </c>
      <c r="H226" s="280">
        <f>SUM(H227:H237)</f>
        <v>859500.95</v>
      </c>
      <c r="I226" s="244">
        <f t="shared" si="8"/>
        <v>116</v>
      </c>
      <c r="J226" s="263"/>
    </row>
    <row r="227" spans="1:10" ht="12.75">
      <c r="A227" s="232"/>
      <c r="B227" s="232"/>
      <c r="C227" s="277" t="s">
        <v>329</v>
      </c>
      <c r="D227" s="281" t="s">
        <v>117</v>
      </c>
      <c r="E227" s="278">
        <f>51891-3151</f>
        <v>48740</v>
      </c>
      <c r="F227" s="278">
        <f>51891-3151</f>
        <v>48740</v>
      </c>
      <c r="G227" s="197">
        <v>46729.99</v>
      </c>
      <c r="H227" s="197"/>
      <c r="I227" s="190">
        <f t="shared" si="8"/>
        <v>95.9</v>
      </c>
      <c r="J227" s="263"/>
    </row>
    <row r="228" spans="1:10" ht="12.75">
      <c r="A228" s="232"/>
      <c r="B228" s="265" t="s">
        <v>295</v>
      </c>
      <c r="C228" s="200" t="s">
        <v>330</v>
      </c>
      <c r="D228" s="282" t="s">
        <v>117</v>
      </c>
      <c r="E228" s="283"/>
      <c r="F228" s="283">
        <f>450000+900000+900000+660000+129000</f>
        <v>3039000</v>
      </c>
      <c r="G228" s="198">
        <v>3652390.38</v>
      </c>
      <c r="H228" s="198">
        <v>769030.21</v>
      </c>
      <c r="I228" s="199">
        <f t="shared" si="8"/>
        <v>120.2</v>
      </c>
      <c r="J228" s="263"/>
    </row>
    <row r="229" spans="1:10" ht="12.75">
      <c r="A229" s="232"/>
      <c r="B229" s="268"/>
      <c r="C229" s="284" t="s">
        <v>331</v>
      </c>
      <c r="D229" s="285"/>
      <c r="E229" s="286"/>
      <c r="F229" s="286"/>
      <c r="G229" s="189">
        <v>1019866.28</v>
      </c>
      <c r="H229" s="189"/>
      <c r="I229" s="273"/>
      <c r="J229" s="263"/>
    </row>
    <row r="230" spans="1:10" ht="33.75">
      <c r="A230" s="232"/>
      <c r="B230" s="268"/>
      <c r="C230" s="287" t="s">
        <v>332</v>
      </c>
      <c r="D230" s="285"/>
      <c r="E230" s="286"/>
      <c r="F230" s="286"/>
      <c r="G230" s="189">
        <v>267160.27</v>
      </c>
      <c r="H230" s="189"/>
      <c r="I230" s="273"/>
      <c r="J230" s="263"/>
    </row>
    <row r="231" spans="1:10" ht="12.75">
      <c r="A231" s="232"/>
      <c r="B231" s="268"/>
      <c r="C231" s="284" t="s">
        <v>333</v>
      </c>
      <c r="D231" s="285"/>
      <c r="E231" s="286"/>
      <c r="F231" s="286"/>
      <c r="G231" s="189">
        <v>635029.32</v>
      </c>
      <c r="H231" s="189"/>
      <c r="I231" s="273"/>
      <c r="J231" s="263"/>
    </row>
    <row r="232" spans="1:10" ht="12.75">
      <c r="A232" s="232"/>
      <c r="B232" s="268"/>
      <c r="C232" s="284" t="s">
        <v>334</v>
      </c>
      <c r="D232" s="285"/>
      <c r="E232" s="286"/>
      <c r="F232" s="286"/>
      <c r="G232" s="189">
        <v>880152.99</v>
      </c>
      <c r="H232" s="189"/>
      <c r="I232" s="273"/>
      <c r="J232" s="263"/>
    </row>
    <row r="233" spans="1:10" ht="12.75">
      <c r="A233" s="232"/>
      <c r="B233" s="268"/>
      <c r="C233" s="284" t="s">
        <v>335</v>
      </c>
      <c r="D233" s="285"/>
      <c r="E233" s="286"/>
      <c r="F233" s="286"/>
      <c r="G233" s="189">
        <v>4893.19</v>
      </c>
      <c r="H233" s="189"/>
      <c r="I233" s="273"/>
      <c r="J233" s="263"/>
    </row>
    <row r="234" spans="1:10" ht="33.75">
      <c r="A234" s="232"/>
      <c r="B234" s="268"/>
      <c r="C234" s="287" t="s">
        <v>336</v>
      </c>
      <c r="D234" s="285"/>
      <c r="E234" s="286"/>
      <c r="F234" s="286"/>
      <c r="G234" s="189">
        <v>845288.33</v>
      </c>
      <c r="H234" s="189"/>
      <c r="I234" s="273"/>
      <c r="J234" s="263"/>
    </row>
    <row r="235" spans="1:10" ht="12.75">
      <c r="A235" s="232"/>
      <c r="B235" s="252"/>
      <c r="C235" s="180" t="s">
        <v>337</v>
      </c>
      <c r="D235" s="281" t="s">
        <v>117</v>
      </c>
      <c r="E235" s="278"/>
      <c r="F235" s="278">
        <v>52000</v>
      </c>
      <c r="G235" s="197">
        <v>52155.68</v>
      </c>
      <c r="H235" s="197">
        <v>18684.8</v>
      </c>
      <c r="I235" s="190">
        <f t="shared" si="8"/>
        <v>100.3</v>
      </c>
      <c r="J235" s="263"/>
    </row>
    <row r="236" spans="1:10" ht="12.75">
      <c r="A236" s="232"/>
      <c r="B236" s="252"/>
      <c r="C236" s="180" t="s">
        <v>338</v>
      </c>
      <c r="D236" s="281" t="s">
        <v>117</v>
      </c>
      <c r="E236" s="278"/>
      <c r="F236" s="278">
        <v>60000</v>
      </c>
      <c r="G236" s="197">
        <v>37320</v>
      </c>
      <c r="H236" s="197">
        <v>36840</v>
      </c>
      <c r="I236" s="190">
        <f t="shared" si="8"/>
        <v>62.2</v>
      </c>
      <c r="J236" s="263"/>
    </row>
    <row r="237" spans="1:10" ht="12.75">
      <c r="A237" s="232"/>
      <c r="B237" s="268"/>
      <c r="C237" s="284" t="s">
        <v>339</v>
      </c>
      <c r="D237" s="285" t="s">
        <v>117</v>
      </c>
      <c r="E237" s="286"/>
      <c r="F237" s="286">
        <f>60000+35000</f>
        <v>95000</v>
      </c>
      <c r="G237" s="286">
        <v>34945.94</v>
      </c>
      <c r="H237" s="286">
        <v>34945.94</v>
      </c>
      <c r="I237" s="190">
        <f t="shared" si="8"/>
        <v>36.8</v>
      </c>
      <c r="J237" s="263"/>
    </row>
    <row r="238" spans="1:10" ht="12.75">
      <c r="A238" s="232"/>
      <c r="B238" s="232"/>
      <c r="C238" s="234" t="s">
        <v>340</v>
      </c>
      <c r="D238" s="234"/>
      <c r="E238" s="183">
        <f>SUM(E239)</f>
        <v>65000</v>
      </c>
      <c r="F238" s="243">
        <f>SUM(F239)</f>
        <v>49000</v>
      </c>
      <c r="G238" s="243">
        <f>SUM(G239)</f>
        <v>47559.55</v>
      </c>
      <c r="H238" s="243">
        <f>SUM(H239)</f>
        <v>900</v>
      </c>
      <c r="I238" s="244">
        <f t="shared" si="8"/>
        <v>97.1</v>
      </c>
      <c r="J238" s="263"/>
    </row>
    <row r="239" spans="1:10" ht="12.75">
      <c r="A239" s="232"/>
      <c r="B239" s="232"/>
      <c r="C239" s="180" t="s">
        <v>341</v>
      </c>
      <c r="D239" s="180" t="s">
        <v>117</v>
      </c>
      <c r="E239" s="233">
        <v>65000</v>
      </c>
      <c r="F239" s="197">
        <f>65000-16000</f>
        <v>49000</v>
      </c>
      <c r="G239" s="197">
        <v>47559.55</v>
      </c>
      <c r="H239" s="197">
        <v>900</v>
      </c>
      <c r="I239" s="190">
        <f t="shared" si="8"/>
        <v>97.1</v>
      </c>
      <c r="J239" s="263"/>
    </row>
    <row r="240" spans="1:10" ht="12.75">
      <c r="A240" s="232"/>
      <c r="B240" s="232"/>
      <c r="C240" s="234" t="s">
        <v>153</v>
      </c>
      <c r="D240" s="234"/>
      <c r="E240" s="183">
        <f>SUM(E241)</f>
        <v>300000</v>
      </c>
      <c r="F240" s="243">
        <f>SUM(F241,F242)</f>
        <v>795607</v>
      </c>
      <c r="G240" s="243">
        <f>SUM(G241,G242)</f>
        <v>796598.8400000001</v>
      </c>
      <c r="H240" s="243">
        <f>SUM(H241,H242)</f>
        <v>9476.34</v>
      </c>
      <c r="I240" s="244">
        <f t="shared" si="8"/>
        <v>100.1</v>
      </c>
      <c r="J240" s="263"/>
    </row>
    <row r="241" spans="1:10" ht="12.75">
      <c r="A241" s="232"/>
      <c r="B241" s="232"/>
      <c r="C241" s="180" t="s">
        <v>342</v>
      </c>
      <c r="D241" s="180" t="s">
        <v>117</v>
      </c>
      <c r="E241" s="278">
        <f>400000-100000</f>
        <v>300000</v>
      </c>
      <c r="F241" s="278">
        <f>400000-100000</f>
        <v>300000</v>
      </c>
      <c r="G241" s="197">
        <v>298145.9</v>
      </c>
      <c r="H241" s="197"/>
      <c r="I241" s="190">
        <f t="shared" si="8"/>
        <v>99.4</v>
      </c>
      <c r="J241" s="263"/>
    </row>
    <row r="242" spans="1:10" ht="12.75">
      <c r="A242" s="232"/>
      <c r="B242" s="265" t="s">
        <v>295</v>
      </c>
      <c r="C242" s="200" t="s">
        <v>343</v>
      </c>
      <c r="D242" s="200" t="s">
        <v>117</v>
      </c>
      <c r="E242" s="283"/>
      <c r="F242" s="283">
        <f>160000+120000+200000+15607</f>
        <v>495607</v>
      </c>
      <c r="G242" s="198">
        <v>498452.94</v>
      </c>
      <c r="H242" s="198">
        <v>9476.34</v>
      </c>
      <c r="I242" s="288">
        <f t="shared" si="8"/>
        <v>100.6</v>
      </c>
      <c r="J242" s="263"/>
    </row>
    <row r="243" spans="1:10" ht="26.25" customHeight="1">
      <c r="A243" s="232"/>
      <c r="B243" s="268"/>
      <c r="C243" s="287" t="s">
        <v>344</v>
      </c>
      <c r="D243" s="284"/>
      <c r="E243" s="286"/>
      <c r="F243" s="286"/>
      <c r="G243" s="189">
        <v>97.44</v>
      </c>
      <c r="H243" s="189"/>
      <c r="I243" s="273"/>
      <c r="J243" s="263"/>
    </row>
    <row r="244" spans="1:10" ht="12.75">
      <c r="A244" s="232"/>
      <c r="B244" s="268"/>
      <c r="C244" s="284" t="s">
        <v>345</v>
      </c>
      <c r="D244" s="284"/>
      <c r="E244" s="286"/>
      <c r="F244" s="286"/>
      <c r="G244" s="189">
        <v>74221</v>
      </c>
      <c r="H244" s="189"/>
      <c r="I244" s="273"/>
      <c r="J244" s="263"/>
    </row>
    <row r="245" spans="1:10" ht="12.75">
      <c r="A245" s="232"/>
      <c r="B245" s="268"/>
      <c r="C245" s="284" t="s">
        <v>346</v>
      </c>
      <c r="D245" s="284"/>
      <c r="E245" s="286"/>
      <c r="F245" s="286"/>
      <c r="G245" s="189">
        <v>362.88</v>
      </c>
      <c r="H245" s="189"/>
      <c r="I245" s="273"/>
      <c r="J245" s="263"/>
    </row>
    <row r="246" spans="1:10" ht="12.75">
      <c r="A246" s="232"/>
      <c r="B246" s="268"/>
      <c r="C246" s="284" t="s">
        <v>347</v>
      </c>
      <c r="D246" s="284"/>
      <c r="E246" s="286"/>
      <c r="F246" s="286"/>
      <c r="G246" s="189">
        <v>423771.66</v>
      </c>
      <c r="H246" s="189"/>
      <c r="I246" s="273"/>
      <c r="J246" s="263"/>
    </row>
    <row r="247" spans="1:10" ht="12.75">
      <c r="A247" s="232"/>
      <c r="B247" s="232"/>
      <c r="C247" s="234" t="s">
        <v>348</v>
      </c>
      <c r="D247" s="234"/>
      <c r="E247" s="236">
        <f>SUM(E248,E249,E250,E251)</f>
        <v>5831433</v>
      </c>
      <c r="F247" s="247">
        <f>SUM(F248,F249,F250,F251)</f>
        <v>1548628</v>
      </c>
      <c r="G247" s="247">
        <f>SUM(G248,G249,G250,G251)</f>
        <v>1053823.54</v>
      </c>
      <c r="H247" s="247">
        <f>SUM(H248,H249,H250,H251)</f>
        <v>523047.67</v>
      </c>
      <c r="I247" s="190">
        <f t="shared" si="8"/>
        <v>68</v>
      </c>
      <c r="J247" s="263"/>
    </row>
    <row r="248" spans="1:10" ht="12.75">
      <c r="A248" s="264" t="s">
        <v>349</v>
      </c>
      <c r="B248" s="264"/>
      <c r="C248" s="180" t="s">
        <v>350</v>
      </c>
      <c r="D248" s="180" t="s">
        <v>117</v>
      </c>
      <c r="E248" s="233">
        <v>60000</v>
      </c>
      <c r="F248" s="197">
        <f>60000+8000</f>
        <v>68000</v>
      </c>
      <c r="G248" s="197">
        <v>68546.47</v>
      </c>
      <c r="H248" s="197">
        <v>5155</v>
      </c>
      <c r="I248" s="190">
        <f t="shared" si="8"/>
        <v>100.8</v>
      </c>
      <c r="J248" s="263"/>
    </row>
    <row r="249" spans="1:10" ht="12" customHeight="1">
      <c r="A249" s="232"/>
      <c r="B249" s="232"/>
      <c r="C249" s="180" t="s">
        <v>351</v>
      </c>
      <c r="D249" s="180" t="s">
        <v>117</v>
      </c>
      <c r="E249" s="180">
        <v>215000</v>
      </c>
      <c r="F249" s="197">
        <f>215000+100000+60000</f>
        <v>375000</v>
      </c>
      <c r="G249" s="197">
        <v>374962.41</v>
      </c>
      <c r="H249" s="197">
        <v>144695.88</v>
      </c>
      <c r="I249" s="190">
        <f t="shared" si="8"/>
        <v>100</v>
      </c>
      <c r="J249" s="263"/>
    </row>
    <row r="250" spans="1:10" ht="17.25" customHeight="1">
      <c r="A250" s="232"/>
      <c r="B250" s="232"/>
      <c r="C250" s="235" t="s">
        <v>352</v>
      </c>
      <c r="D250" s="180" t="s">
        <v>117</v>
      </c>
      <c r="E250" s="233">
        <f>1182433-300000</f>
        <v>882433</v>
      </c>
      <c r="F250" s="197">
        <f>1182433-300000+223195</f>
        <v>1105628</v>
      </c>
      <c r="G250" s="197">
        <v>610314.66</v>
      </c>
      <c r="H250" s="197">
        <v>373196.79</v>
      </c>
      <c r="I250" s="190">
        <f t="shared" si="8"/>
        <v>55.2</v>
      </c>
      <c r="J250" s="263"/>
    </row>
    <row r="251" spans="1:10" ht="17.25" customHeight="1">
      <c r="A251" s="232"/>
      <c r="B251" s="265" t="s">
        <v>295</v>
      </c>
      <c r="C251" s="276" t="s">
        <v>353</v>
      </c>
      <c r="D251" s="200" t="s">
        <v>117</v>
      </c>
      <c r="E251" s="201">
        <v>4674000</v>
      </c>
      <c r="F251" s="198">
        <f>4674000-758393-1070000-2000000-845607</f>
        <v>0</v>
      </c>
      <c r="G251" s="198"/>
      <c r="H251" s="198"/>
      <c r="I251" s="199"/>
      <c r="J251" s="263"/>
    </row>
    <row r="252" spans="1:10" ht="12.75">
      <c r="A252" s="232"/>
      <c r="B252" s="232"/>
      <c r="C252" s="255" t="s">
        <v>103</v>
      </c>
      <c r="D252" s="260"/>
      <c r="E252" s="183">
        <f>SUM(E254,E255)</f>
        <v>4182</v>
      </c>
      <c r="F252" s="243">
        <f>SUM(F253,F255,F259)</f>
        <v>126629</v>
      </c>
      <c r="G252" s="289">
        <f>SUM(G253,G255,G259)</f>
        <v>88896.03</v>
      </c>
      <c r="H252" s="243">
        <f>SUM(H253,H255,H259)</f>
        <v>246.92</v>
      </c>
      <c r="I252" s="244">
        <f t="shared" si="8"/>
        <v>70.2</v>
      </c>
      <c r="J252" s="263"/>
    </row>
    <row r="253" spans="1:10" ht="12.75">
      <c r="A253" s="232"/>
      <c r="B253" s="232"/>
      <c r="C253" s="238" t="s">
        <v>354</v>
      </c>
      <c r="D253" s="238"/>
      <c r="E253" s="183">
        <f>SUM(E254)</f>
        <v>1682</v>
      </c>
      <c r="F253" s="243">
        <f>SUM(F254)</f>
        <v>1682</v>
      </c>
      <c r="G253" s="289">
        <f>SUM(G254)</f>
        <v>1682</v>
      </c>
      <c r="H253" s="243">
        <f>SUM(H254)</f>
        <v>0</v>
      </c>
      <c r="I253" s="244">
        <f t="shared" si="8"/>
        <v>100</v>
      </c>
      <c r="J253" s="263"/>
    </row>
    <row r="254" spans="1:10" ht="13.5" customHeight="1">
      <c r="A254" s="232"/>
      <c r="B254" s="232"/>
      <c r="C254" s="235" t="s">
        <v>355</v>
      </c>
      <c r="D254" s="235" t="s">
        <v>125</v>
      </c>
      <c r="E254" s="233">
        <v>1682</v>
      </c>
      <c r="F254" s="197">
        <v>1682</v>
      </c>
      <c r="G254" s="290">
        <v>1682</v>
      </c>
      <c r="H254" s="197"/>
      <c r="I254" s="190">
        <f t="shared" si="8"/>
        <v>100</v>
      </c>
      <c r="J254" s="291"/>
    </row>
    <row r="255" spans="1:10" ht="12.75">
      <c r="A255" s="232"/>
      <c r="B255" s="232"/>
      <c r="C255" s="238" t="s">
        <v>356</v>
      </c>
      <c r="D255" s="235"/>
      <c r="E255" s="233">
        <f>SUM(E256)</f>
        <v>2500</v>
      </c>
      <c r="F255" s="197">
        <f>SUM(F256:F258)</f>
        <v>84247</v>
      </c>
      <c r="G255" s="197">
        <f>SUM(G256:G258)</f>
        <v>83931.6</v>
      </c>
      <c r="H255" s="197">
        <f>SUM(H256:H258)</f>
        <v>96</v>
      </c>
      <c r="I255" s="244">
        <f t="shared" si="8"/>
        <v>99.6</v>
      </c>
      <c r="J255" s="291"/>
    </row>
    <row r="256" spans="1:10" ht="22.5">
      <c r="A256" s="232"/>
      <c r="B256" s="232"/>
      <c r="C256" s="292" t="s">
        <v>357</v>
      </c>
      <c r="D256" s="235" t="s">
        <v>117</v>
      </c>
      <c r="E256" s="233">
        <v>2500</v>
      </c>
      <c r="F256" s="197">
        <f>2500+46530</f>
        <v>49030</v>
      </c>
      <c r="G256" s="290">
        <v>48754.6</v>
      </c>
      <c r="H256" s="197">
        <v>96</v>
      </c>
      <c r="I256" s="190">
        <f t="shared" si="8"/>
        <v>99.4</v>
      </c>
      <c r="J256" s="291"/>
    </row>
    <row r="257" spans="1:10" ht="18.75" customHeight="1">
      <c r="A257" s="232"/>
      <c r="B257" s="232" t="s">
        <v>135</v>
      </c>
      <c r="C257" s="292" t="s">
        <v>358</v>
      </c>
      <c r="D257" s="235" t="s">
        <v>117</v>
      </c>
      <c r="E257" s="233"/>
      <c r="F257" s="197">
        <v>28800</v>
      </c>
      <c r="G257" s="290">
        <v>28760</v>
      </c>
      <c r="H257" s="197"/>
      <c r="I257" s="190">
        <f t="shared" si="8"/>
        <v>99.9</v>
      </c>
      <c r="J257" s="291"/>
    </row>
    <row r="258" spans="1:10" ht="33.75">
      <c r="A258" s="232"/>
      <c r="B258" s="293" t="s">
        <v>295</v>
      </c>
      <c r="C258" s="294" t="s">
        <v>359</v>
      </c>
      <c r="D258" s="276" t="s">
        <v>117</v>
      </c>
      <c r="E258" s="201"/>
      <c r="F258" s="198">
        <v>6417</v>
      </c>
      <c r="G258" s="295">
        <v>6417</v>
      </c>
      <c r="H258" s="198"/>
      <c r="I258" s="199">
        <f t="shared" si="8"/>
        <v>100</v>
      </c>
      <c r="J258" s="291"/>
    </row>
    <row r="259" spans="1:10" ht="12.75">
      <c r="A259" s="232"/>
      <c r="B259" s="232"/>
      <c r="C259" s="238" t="s">
        <v>360</v>
      </c>
      <c r="D259" s="235"/>
      <c r="E259" s="233"/>
      <c r="F259" s="183">
        <f>SUM(F260)</f>
        <v>40700</v>
      </c>
      <c r="G259" s="296">
        <f>SUM(G260)</f>
        <v>3282.43</v>
      </c>
      <c r="H259" s="183">
        <f>SUM(H260)</f>
        <v>150.92</v>
      </c>
      <c r="I259" s="184">
        <f t="shared" si="8"/>
        <v>8.1</v>
      </c>
      <c r="J259" s="291"/>
    </row>
    <row r="260" spans="1:10" ht="17.25" customHeight="1">
      <c r="A260" s="232"/>
      <c r="B260" s="232" t="s">
        <v>135</v>
      </c>
      <c r="C260" s="292" t="s">
        <v>361</v>
      </c>
      <c r="D260" s="235" t="s">
        <v>117</v>
      </c>
      <c r="E260" s="233"/>
      <c r="F260" s="197">
        <v>40700</v>
      </c>
      <c r="G260" s="290">
        <v>3282.43</v>
      </c>
      <c r="H260" s="197">
        <v>150.92</v>
      </c>
      <c r="I260" s="190">
        <f t="shared" si="8"/>
        <v>8.1</v>
      </c>
      <c r="J260" s="291"/>
    </row>
    <row r="261" spans="1:10" ht="12.75">
      <c r="A261" s="232"/>
      <c r="B261" s="232"/>
      <c r="C261" s="297" t="s">
        <v>362</v>
      </c>
      <c r="D261" s="298"/>
      <c r="E261" s="299">
        <f>SUM(E262,E267,E271)</f>
        <v>1280512</v>
      </c>
      <c r="F261" s="300">
        <f>SUM(F262,F267,F271,F265)</f>
        <v>1187450</v>
      </c>
      <c r="G261" s="300">
        <f>SUM(G262,G267,G271)</f>
        <v>988718.24</v>
      </c>
      <c r="H261" s="300">
        <f>SUM(H262,H267,H271)</f>
        <v>21983</v>
      </c>
      <c r="I261" s="244">
        <f t="shared" si="8"/>
        <v>83.3</v>
      </c>
      <c r="J261" s="291"/>
    </row>
    <row r="262" spans="1:10" ht="12.75">
      <c r="A262" s="301"/>
      <c r="B262" s="301"/>
      <c r="C262" s="214" t="s">
        <v>87</v>
      </c>
      <c r="D262" s="302"/>
      <c r="E262" s="205">
        <f aca="true" t="shared" si="9" ref="E262:H263">SUM(E263)</f>
        <v>1127383</v>
      </c>
      <c r="F262" s="303">
        <f t="shared" si="9"/>
        <v>877383</v>
      </c>
      <c r="G262" s="303">
        <f t="shared" si="9"/>
        <v>835589.24</v>
      </c>
      <c r="H262" s="303">
        <f t="shared" si="9"/>
        <v>21983</v>
      </c>
      <c r="I262" s="244">
        <f t="shared" si="8"/>
        <v>95.2</v>
      </c>
      <c r="J262" s="291"/>
    </row>
    <row r="263" spans="1:10" ht="12.75">
      <c r="A263" s="301"/>
      <c r="B263" s="301"/>
      <c r="C263" s="304" t="s">
        <v>363</v>
      </c>
      <c r="D263" s="304"/>
      <c r="E263" s="216">
        <f t="shared" si="9"/>
        <v>1127383</v>
      </c>
      <c r="F263" s="189">
        <f t="shared" si="9"/>
        <v>877383</v>
      </c>
      <c r="G263" s="189">
        <f t="shared" si="9"/>
        <v>835589.24</v>
      </c>
      <c r="H263" s="189">
        <f t="shared" si="9"/>
        <v>21983</v>
      </c>
      <c r="I263" s="244">
        <f t="shared" si="8"/>
        <v>95.2</v>
      </c>
      <c r="J263" s="291"/>
    </row>
    <row r="264" spans="1:10" ht="12.75">
      <c r="A264" s="301"/>
      <c r="B264" s="301"/>
      <c r="C264" s="235" t="s">
        <v>364</v>
      </c>
      <c r="D264" s="235" t="s">
        <v>127</v>
      </c>
      <c r="E264" s="233">
        <f>1361566-234183</f>
        <v>1127383</v>
      </c>
      <c r="F264" s="197">
        <f>1361566-234183-250000</f>
        <v>877383</v>
      </c>
      <c r="G264" s="197">
        <v>835589.24</v>
      </c>
      <c r="H264" s="197">
        <v>21983</v>
      </c>
      <c r="I264" s="190">
        <f t="shared" si="8"/>
        <v>95.2</v>
      </c>
      <c r="J264" s="291"/>
    </row>
    <row r="265" spans="1:10" ht="12.75">
      <c r="A265" s="301"/>
      <c r="B265" s="301"/>
      <c r="C265" s="255" t="s">
        <v>93</v>
      </c>
      <c r="D265" s="235"/>
      <c r="E265" s="233"/>
      <c r="F265" s="236">
        <f>SUM(F266)</f>
        <v>156938</v>
      </c>
      <c r="G265" s="253"/>
      <c r="H265" s="253"/>
      <c r="I265" s="184">
        <f t="shared" si="8"/>
        <v>0</v>
      </c>
      <c r="J265" s="291"/>
    </row>
    <row r="266" spans="1:10" ht="13.5" customHeight="1">
      <c r="A266" s="301"/>
      <c r="B266" s="301"/>
      <c r="C266" s="235" t="s">
        <v>365</v>
      </c>
      <c r="D266" s="235" t="s">
        <v>117</v>
      </c>
      <c r="E266" s="233"/>
      <c r="F266" s="197">
        <v>156938</v>
      </c>
      <c r="G266" s="197"/>
      <c r="H266" s="197"/>
      <c r="I266" s="190">
        <f t="shared" si="8"/>
        <v>0</v>
      </c>
      <c r="J266" s="291"/>
    </row>
    <row r="267" spans="1:9" ht="12.75">
      <c r="A267" s="301"/>
      <c r="B267" s="301"/>
      <c r="C267" s="255" t="s">
        <v>119</v>
      </c>
      <c r="D267" s="260"/>
      <c r="E267" s="261">
        <f>SUM(E268)</f>
        <v>111912</v>
      </c>
      <c r="F267" s="258">
        <f>SUM(F268)</f>
        <v>111912</v>
      </c>
      <c r="G267" s="258">
        <f>SUM(G268)</f>
        <v>111912</v>
      </c>
      <c r="H267" s="258">
        <f>SUM(H268)</f>
        <v>0</v>
      </c>
      <c r="I267" s="244">
        <f t="shared" si="8"/>
        <v>100</v>
      </c>
    </row>
    <row r="268" spans="1:9" ht="12.75">
      <c r="A268" s="301"/>
      <c r="B268" s="301"/>
      <c r="C268" s="234" t="s">
        <v>166</v>
      </c>
      <c r="D268" s="234"/>
      <c r="E268" s="183">
        <f>SUM(E269,E270)</f>
        <v>111912</v>
      </c>
      <c r="F268" s="243">
        <f>SUM(F269,F270)</f>
        <v>111912</v>
      </c>
      <c r="G268" s="243">
        <f>SUM(G269,G270)</f>
        <v>111912</v>
      </c>
      <c r="H268" s="243">
        <f>SUM(H269,H270)</f>
        <v>0</v>
      </c>
      <c r="I268" s="244">
        <f t="shared" si="8"/>
        <v>100</v>
      </c>
    </row>
    <row r="269" spans="1:9" ht="15" customHeight="1">
      <c r="A269" s="301"/>
      <c r="B269" s="301"/>
      <c r="C269" s="235" t="s">
        <v>366</v>
      </c>
      <c r="D269" s="235" t="s">
        <v>125</v>
      </c>
      <c r="E269" s="233">
        <v>48000</v>
      </c>
      <c r="F269" s="197">
        <v>48000</v>
      </c>
      <c r="G269" s="197">
        <v>48000</v>
      </c>
      <c r="H269" s="197"/>
      <c r="I269" s="190">
        <f t="shared" si="8"/>
        <v>100</v>
      </c>
    </row>
    <row r="270" spans="1:9" ht="12.75" customHeight="1">
      <c r="A270" s="232"/>
      <c r="B270" s="232"/>
      <c r="C270" s="235" t="s">
        <v>367</v>
      </c>
      <c r="D270" s="235" t="s">
        <v>125</v>
      </c>
      <c r="E270" s="233">
        <v>63912</v>
      </c>
      <c r="F270" s="197">
        <v>63912</v>
      </c>
      <c r="G270" s="197">
        <f>31956+31956</f>
        <v>63912</v>
      </c>
      <c r="H270" s="197"/>
      <c r="I270" s="190">
        <f t="shared" si="8"/>
        <v>100</v>
      </c>
    </row>
    <row r="271" spans="1:9" ht="18.75" customHeight="1">
      <c r="A271" s="232"/>
      <c r="B271" s="232"/>
      <c r="C271" s="181" t="s">
        <v>101</v>
      </c>
      <c r="D271" s="229"/>
      <c r="E271" s="183">
        <f>SUM(E272)</f>
        <v>41217</v>
      </c>
      <c r="F271" s="243">
        <f>SUM(F272)</f>
        <v>41217</v>
      </c>
      <c r="G271" s="243">
        <f>SUM(G272)</f>
        <v>41217</v>
      </c>
      <c r="H271" s="233"/>
      <c r="I271" s="244">
        <f t="shared" si="8"/>
        <v>100</v>
      </c>
    </row>
    <row r="272" spans="1:9" ht="12.75">
      <c r="A272" s="232"/>
      <c r="B272" s="232"/>
      <c r="C272" s="234" t="s">
        <v>368</v>
      </c>
      <c r="D272" s="234"/>
      <c r="E272" s="183">
        <f>SUM(E273,E274)</f>
        <v>41217</v>
      </c>
      <c r="F272" s="243">
        <f>SUM(F273,F274)</f>
        <v>41217</v>
      </c>
      <c r="G272" s="243">
        <f>SUM(G273,G274)</f>
        <v>41217</v>
      </c>
      <c r="H272" s="243"/>
      <c r="I272" s="244">
        <f t="shared" si="8"/>
        <v>100</v>
      </c>
    </row>
    <row r="273" spans="1:9" ht="15" customHeight="1">
      <c r="A273" s="232"/>
      <c r="B273" s="232"/>
      <c r="C273" s="235" t="s">
        <v>369</v>
      </c>
      <c r="D273" s="235" t="s">
        <v>125</v>
      </c>
      <c r="E273" s="233">
        <v>36749</v>
      </c>
      <c r="F273" s="197">
        <v>36749</v>
      </c>
      <c r="G273" s="197">
        <v>36749</v>
      </c>
      <c r="H273" s="197"/>
      <c r="I273" s="190">
        <f t="shared" si="8"/>
        <v>100</v>
      </c>
    </row>
    <row r="274" spans="1:9" ht="13.5" customHeight="1">
      <c r="A274" s="232"/>
      <c r="B274" s="232"/>
      <c r="C274" s="235" t="s">
        <v>370</v>
      </c>
      <c r="D274" s="235" t="s">
        <v>125</v>
      </c>
      <c r="E274" s="233">
        <v>4468</v>
      </c>
      <c r="F274" s="197">
        <v>4468</v>
      </c>
      <c r="G274" s="197">
        <v>4468</v>
      </c>
      <c r="H274" s="197"/>
      <c r="I274" s="190">
        <f t="shared" si="8"/>
        <v>100</v>
      </c>
    </row>
    <row r="275" spans="1:9" ht="12.75">
      <c r="A275" s="232"/>
      <c r="B275" s="232"/>
      <c r="C275" s="255" t="s">
        <v>371</v>
      </c>
      <c r="D275" s="255"/>
      <c r="E275" s="255"/>
      <c r="F275" s="183">
        <f>SUM(F276,F279,F283,F281)</f>
        <v>328652</v>
      </c>
      <c r="G275" s="183">
        <f>SUM(G276,G279,G283,G281)</f>
        <v>328633.2</v>
      </c>
      <c r="H275" s="183"/>
      <c r="I275" s="184">
        <f t="shared" si="8"/>
        <v>100</v>
      </c>
    </row>
    <row r="276" spans="1:9" ht="12.75">
      <c r="A276" s="305"/>
      <c r="B276" s="306"/>
      <c r="C276" s="307" t="s">
        <v>87</v>
      </c>
      <c r="D276" s="307"/>
      <c r="E276" s="307"/>
      <c r="F276" s="308">
        <f>SUM(F277)</f>
        <v>146000</v>
      </c>
      <c r="G276" s="308">
        <f>SUM(G277)</f>
        <v>146000</v>
      </c>
      <c r="H276" s="308"/>
      <c r="I276" s="190">
        <f t="shared" si="8"/>
        <v>100</v>
      </c>
    </row>
    <row r="277" spans="1:9" ht="12.75">
      <c r="A277" s="305"/>
      <c r="B277" s="306"/>
      <c r="C277" s="307" t="s">
        <v>372</v>
      </c>
      <c r="D277" s="307"/>
      <c r="E277" s="307"/>
      <c r="F277" s="308">
        <f>SUM(F278)</f>
        <v>146000</v>
      </c>
      <c r="G277" s="308">
        <f>SUM(G278)</f>
        <v>146000</v>
      </c>
      <c r="H277" s="308"/>
      <c r="I277" s="184">
        <f t="shared" si="8"/>
        <v>100</v>
      </c>
    </row>
    <row r="278" spans="1:9" ht="16.5" customHeight="1">
      <c r="A278" s="305"/>
      <c r="B278" s="309" t="s">
        <v>295</v>
      </c>
      <c r="C278" s="310" t="s">
        <v>373</v>
      </c>
      <c r="D278" s="310" t="s">
        <v>117</v>
      </c>
      <c r="E278" s="310"/>
      <c r="F278" s="311">
        <v>146000</v>
      </c>
      <c r="G278" s="311">
        <v>146000</v>
      </c>
      <c r="H278" s="311"/>
      <c r="I278" s="288">
        <f t="shared" si="8"/>
        <v>100</v>
      </c>
    </row>
    <row r="279" spans="1:9" ht="12.75">
      <c r="A279" s="305"/>
      <c r="B279" s="312"/>
      <c r="C279" s="313" t="s">
        <v>374</v>
      </c>
      <c r="D279" s="313"/>
      <c r="E279" s="313"/>
      <c r="F279" s="314">
        <f>SUM(F280)</f>
        <v>4300</v>
      </c>
      <c r="G279" s="314">
        <f>SUM(G280)</f>
        <v>4281.2</v>
      </c>
      <c r="H279" s="315">
        <f>SUM(H280)</f>
        <v>0</v>
      </c>
      <c r="I279" s="316">
        <f t="shared" si="8"/>
        <v>99.6</v>
      </c>
    </row>
    <row r="280" spans="1:9" ht="18.75" customHeight="1">
      <c r="A280" s="317"/>
      <c r="B280" s="318" t="s">
        <v>156</v>
      </c>
      <c r="C280" s="319" t="s">
        <v>375</v>
      </c>
      <c r="D280" s="319" t="s">
        <v>117</v>
      </c>
      <c r="E280" s="320"/>
      <c r="F280" s="321">
        <v>4300</v>
      </c>
      <c r="G280" s="321">
        <v>4281.2</v>
      </c>
      <c r="H280" s="321"/>
      <c r="I280" s="322">
        <f t="shared" si="8"/>
        <v>99.6</v>
      </c>
    </row>
    <row r="281" spans="1:9" ht="12.75">
      <c r="A281" s="317"/>
      <c r="B281" s="323"/>
      <c r="C281" s="313" t="s">
        <v>356</v>
      </c>
      <c r="D281" s="324"/>
      <c r="E281" s="324"/>
      <c r="F281" s="325">
        <f>SUM(F282)</f>
        <v>3152</v>
      </c>
      <c r="G281" s="325">
        <f>SUM(G282)</f>
        <v>3152</v>
      </c>
      <c r="H281" s="325"/>
      <c r="I281" s="326">
        <f t="shared" si="8"/>
        <v>100</v>
      </c>
    </row>
    <row r="282" spans="1:9" ht="14.25" customHeight="1">
      <c r="A282" s="317"/>
      <c r="B282" s="323" t="s">
        <v>156</v>
      </c>
      <c r="C282" s="235" t="s">
        <v>376</v>
      </c>
      <c r="D282" s="235" t="s">
        <v>117</v>
      </c>
      <c r="E282" s="327"/>
      <c r="F282" s="233">
        <v>3152</v>
      </c>
      <c r="G282" s="233">
        <v>3152</v>
      </c>
      <c r="H282" s="233"/>
      <c r="I282" s="190">
        <f t="shared" si="8"/>
        <v>100</v>
      </c>
    </row>
    <row r="283" spans="1:9" ht="12.75">
      <c r="A283" s="317"/>
      <c r="B283" s="323"/>
      <c r="C283" s="235" t="s">
        <v>377</v>
      </c>
      <c r="D283" s="327"/>
      <c r="E283" s="327"/>
      <c r="F283" s="183">
        <f>SUM(F284)</f>
        <v>175200</v>
      </c>
      <c r="G283" s="183">
        <f>SUM(G284)</f>
        <v>175200</v>
      </c>
      <c r="H283" s="183"/>
      <c r="I283" s="184">
        <f t="shared" si="8"/>
        <v>100</v>
      </c>
    </row>
    <row r="284" spans="1:9" ht="16.5" customHeight="1">
      <c r="A284" s="317"/>
      <c r="B284" s="328" t="s">
        <v>295</v>
      </c>
      <c r="C284" s="329" t="s">
        <v>373</v>
      </c>
      <c r="D284" s="329" t="s">
        <v>117</v>
      </c>
      <c r="E284" s="330"/>
      <c r="F284" s="331">
        <v>175200</v>
      </c>
      <c r="G284" s="331">
        <v>175200</v>
      </c>
      <c r="H284" s="331"/>
      <c r="I284" s="332">
        <f t="shared" si="8"/>
        <v>100</v>
      </c>
    </row>
    <row r="285" spans="1:9" ht="12.75">
      <c r="A285" s="317"/>
      <c r="B285" s="317"/>
      <c r="C285" s="333"/>
      <c r="D285" s="324"/>
      <c r="E285" s="324"/>
      <c r="G285" s="187"/>
      <c r="H285" s="187"/>
      <c r="I285" s="334"/>
    </row>
    <row r="286" spans="1:9" ht="25.5">
      <c r="A286" s="335"/>
      <c r="B286" s="335"/>
      <c r="C286" s="336" t="s">
        <v>378</v>
      </c>
      <c r="D286" s="336"/>
      <c r="E286" s="336"/>
      <c r="G286" s="187"/>
      <c r="H286" s="187"/>
      <c r="I286" s="334"/>
    </row>
    <row r="287" spans="1:9" ht="12.75">
      <c r="A287" s="335"/>
      <c r="B287" s="335"/>
      <c r="C287" s="336"/>
      <c r="D287" s="336"/>
      <c r="E287" s="336"/>
      <c r="G287" s="211"/>
      <c r="H287" s="211"/>
      <c r="I287" s="212"/>
    </row>
    <row r="288" spans="1:9" ht="33.75">
      <c r="A288" s="337"/>
      <c r="B288" s="338"/>
      <c r="C288" s="339"/>
      <c r="D288" s="339"/>
      <c r="E288" s="179" t="s">
        <v>109</v>
      </c>
      <c r="F288" s="179" t="s">
        <v>110</v>
      </c>
      <c r="G288" s="179" t="s">
        <v>111</v>
      </c>
      <c r="H288" s="180" t="s">
        <v>129</v>
      </c>
      <c r="I288" s="179" t="s">
        <v>113</v>
      </c>
    </row>
    <row r="289" spans="1:9" s="343" customFormat="1" ht="19.5" customHeight="1">
      <c r="A289" s="340"/>
      <c r="B289" s="341"/>
      <c r="C289" s="181" t="s">
        <v>144</v>
      </c>
      <c r="D289" s="181"/>
      <c r="E289" s="342">
        <f aca="true" t="shared" si="10" ref="E289:H290">SUM(E290)</f>
        <v>234183</v>
      </c>
      <c r="F289" s="342">
        <f t="shared" si="10"/>
        <v>241894</v>
      </c>
      <c r="G289" s="342">
        <f>SUM(G290)</f>
        <v>241893.8</v>
      </c>
      <c r="H289" s="342">
        <f t="shared" si="10"/>
        <v>20677.100000000002</v>
      </c>
      <c r="I289" s="184">
        <f t="shared" si="8"/>
        <v>100</v>
      </c>
    </row>
    <row r="290" spans="1:9" s="343" customFormat="1" ht="12.75">
      <c r="A290" s="344"/>
      <c r="B290" s="344"/>
      <c r="C290" s="181" t="s">
        <v>379</v>
      </c>
      <c r="D290" s="181"/>
      <c r="E290" s="183">
        <f t="shared" si="10"/>
        <v>234183</v>
      </c>
      <c r="F290" s="183">
        <f>SUM(F291,F292)</f>
        <v>241894</v>
      </c>
      <c r="G290" s="183">
        <f>SUM(G291,G292)</f>
        <v>241893.8</v>
      </c>
      <c r="H290" s="183">
        <f>SUM(H291,H292)</f>
        <v>20677.100000000002</v>
      </c>
      <c r="I290" s="184">
        <f t="shared" si="8"/>
        <v>100</v>
      </c>
    </row>
    <row r="291" spans="1:9" s="343" customFormat="1" ht="12.75">
      <c r="A291" s="345" t="s">
        <v>380</v>
      </c>
      <c r="B291" s="345"/>
      <c r="C291" s="180" t="s">
        <v>381</v>
      </c>
      <c r="D291" s="180"/>
      <c r="E291" s="233">
        <f>281020-46837</f>
        <v>234183</v>
      </c>
      <c r="F291" s="216">
        <f>281020-46837</f>
        <v>234183</v>
      </c>
      <c r="G291" s="233">
        <v>234142.8</v>
      </c>
      <c r="H291" s="233">
        <v>19870.9</v>
      </c>
      <c r="I291" s="190">
        <f t="shared" si="8"/>
        <v>100</v>
      </c>
    </row>
    <row r="292" spans="1:9" s="343" customFormat="1" ht="12.75">
      <c r="A292" s="345"/>
      <c r="B292" s="345"/>
      <c r="C292" s="180" t="s">
        <v>382</v>
      </c>
      <c r="D292" s="180"/>
      <c r="E292" s="233"/>
      <c r="F292" s="233">
        <f>7151+560</f>
        <v>7711</v>
      </c>
      <c r="G292" s="233">
        <v>7751</v>
      </c>
      <c r="H292" s="233">
        <v>806.2</v>
      </c>
      <c r="I292" s="190">
        <f t="shared" si="8"/>
        <v>100.5</v>
      </c>
    </row>
    <row r="293" spans="1:9" ht="12.75">
      <c r="A293" s="346"/>
      <c r="B293" s="346"/>
      <c r="C293" s="181" t="s">
        <v>160</v>
      </c>
      <c r="D293" s="181"/>
      <c r="E293" s="183">
        <f aca="true" t="shared" si="11" ref="E293:H294">SUM(E294)</f>
        <v>5856</v>
      </c>
      <c r="F293" s="183">
        <f t="shared" si="11"/>
        <v>5856</v>
      </c>
      <c r="G293" s="183">
        <f t="shared" si="11"/>
        <v>5851.32</v>
      </c>
      <c r="H293" s="183">
        <f t="shared" si="11"/>
        <v>487.61</v>
      </c>
      <c r="I293" s="184">
        <f t="shared" si="8"/>
        <v>99.9</v>
      </c>
    </row>
    <row r="294" spans="1:9" ht="12.75">
      <c r="A294" s="346"/>
      <c r="B294" s="346"/>
      <c r="C294" s="234" t="s">
        <v>120</v>
      </c>
      <c r="D294" s="234"/>
      <c r="E294" s="183">
        <f t="shared" si="11"/>
        <v>5856</v>
      </c>
      <c r="F294" s="183">
        <f t="shared" si="11"/>
        <v>5856</v>
      </c>
      <c r="G294" s="183">
        <f t="shared" si="11"/>
        <v>5851.32</v>
      </c>
      <c r="H294" s="183">
        <f t="shared" si="11"/>
        <v>487.61</v>
      </c>
      <c r="I294" s="184">
        <f t="shared" si="8"/>
        <v>99.9</v>
      </c>
    </row>
    <row r="295" spans="1:9" ht="12.75">
      <c r="A295" s="347" t="s">
        <v>383</v>
      </c>
      <c r="B295" s="347"/>
      <c r="C295" s="180" t="s">
        <v>384</v>
      </c>
      <c r="D295" s="180"/>
      <c r="E295" s="233">
        <v>5856</v>
      </c>
      <c r="F295" s="233">
        <v>5856</v>
      </c>
      <c r="G295" s="233">
        <v>5851.32</v>
      </c>
      <c r="H295" s="233">
        <v>487.61</v>
      </c>
      <c r="I295" s="190">
        <f t="shared" si="8"/>
        <v>99.9</v>
      </c>
    </row>
    <row r="296" spans="1:9" ht="12.75">
      <c r="A296" s="346"/>
      <c r="B296" s="346"/>
      <c r="C296" s="181" t="s">
        <v>269</v>
      </c>
      <c r="D296" s="181"/>
      <c r="E296" s="183">
        <f aca="true" t="shared" si="12" ref="E296:H298">SUM(E297)</f>
        <v>3255</v>
      </c>
      <c r="F296" s="183">
        <f t="shared" si="12"/>
        <v>3255</v>
      </c>
      <c r="G296" s="183">
        <f t="shared" si="12"/>
        <v>3255.9</v>
      </c>
      <c r="H296" s="183">
        <f t="shared" si="12"/>
        <v>279.02</v>
      </c>
      <c r="I296" s="184">
        <f t="shared" si="8"/>
        <v>100</v>
      </c>
    </row>
    <row r="297" spans="1:9" ht="12.75">
      <c r="A297" s="232"/>
      <c r="B297" s="232"/>
      <c r="C297" s="181" t="s">
        <v>120</v>
      </c>
      <c r="D297" s="181"/>
      <c r="E297" s="183">
        <f t="shared" si="12"/>
        <v>3255</v>
      </c>
      <c r="F297" s="183">
        <f t="shared" si="12"/>
        <v>3255</v>
      </c>
      <c r="G297" s="183">
        <f t="shared" si="12"/>
        <v>3255.9</v>
      </c>
      <c r="H297" s="183">
        <f t="shared" si="12"/>
        <v>279.02</v>
      </c>
      <c r="I297" s="184">
        <f t="shared" si="8"/>
        <v>100</v>
      </c>
    </row>
    <row r="298" spans="1:9" ht="12.75">
      <c r="A298" s="232" t="s">
        <v>385</v>
      </c>
      <c r="B298" s="232"/>
      <c r="C298" s="348" t="s">
        <v>386</v>
      </c>
      <c r="D298" s="348"/>
      <c r="E298" s="233">
        <f>SUM(E299)</f>
        <v>3255</v>
      </c>
      <c r="F298" s="233">
        <f>SUM(F299)</f>
        <v>3255</v>
      </c>
      <c r="G298" s="233">
        <f t="shared" si="12"/>
        <v>3255.9</v>
      </c>
      <c r="H298" s="233">
        <f t="shared" si="12"/>
        <v>279.02</v>
      </c>
      <c r="I298" s="190">
        <f t="shared" si="8"/>
        <v>100</v>
      </c>
    </row>
    <row r="299" spans="1:9" ht="12.75">
      <c r="A299" s="232"/>
      <c r="B299" s="232"/>
      <c r="C299" s="348" t="s">
        <v>387</v>
      </c>
      <c r="D299" s="348"/>
      <c r="E299" s="233">
        <v>3255</v>
      </c>
      <c r="F299" s="233">
        <v>3255</v>
      </c>
      <c r="G299" s="183">
        <v>3255.9</v>
      </c>
      <c r="H299" s="233">
        <v>279.02</v>
      </c>
      <c r="I299" s="190">
        <f t="shared" si="8"/>
        <v>100</v>
      </c>
    </row>
    <row r="300" spans="3:9" ht="12.75">
      <c r="C300" s="181" t="s">
        <v>362</v>
      </c>
      <c r="D300" s="181"/>
      <c r="E300" s="183">
        <f>SUM(E301,E302)</f>
        <v>5870000</v>
      </c>
      <c r="F300" s="183">
        <f>SUM(F301,F302)</f>
        <v>5870000</v>
      </c>
      <c r="G300" s="183">
        <f>SUM(G301,G302)</f>
        <v>5869996.1</v>
      </c>
      <c r="H300" s="183">
        <f>SUM(H301,H302)</f>
        <v>827419.37</v>
      </c>
      <c r="I300" s="184">
        <f t="shared" si="8"/>
        <v>100</v>
      </c>
    </row>
    <row r="301" spans="1:9" ht="12.75">
      <c r="A301" s="232"/>
      <c r="B301" s="232"/>
      <c r="C301" s="181" t="s">
        <v>388</v>
      </c>
      <c r="D301" s="181"/>
      <c r="E301" s="183">
        <f>5507994+234183</f>
        <v>5742177</v>
      </c>
      <c r="F301" s="183">
        <f>5507994+234183</f>
        <v>5742177</v>
      </c>
      <c r="G301" s="233">
        <v>5742173.1</v>
      </c>
      <c r="H301" s="233">
        <v>827419.37</v>
      </c>
      <c r="I301" s="190">
        <f>ROUND(G301/F301*100,1)</f>
        <v>100</v>
      </c>
    </row>
    <row r="302" spans="1:9" ht="12.75">
      <c r="A302" s="232"/>
      <c r="B302" s="232"/>
      <c r="C302" s="181" t="s">
        <v>388</v>
      </c>
      <c r="D302" s="181"/>
      <c r="E302" s="183">
        <v>127823</v>
      </c>
      <c r="F302" s="183">
        <v>127823</v>
      </c>
      <c r="G302" s="233">
        <v>127823</v>
      </c>
      <c r="H302" s="233"/>
      <c r="I302" s="184">
        <f>ROUND(G302/F302*100,1)</f>
        <v>100</v>
      </c>
    </row>
    <row r="303" spans="1:9" ht="12.75">
      <c r="A303" s="232" t="s">
        <v>389</v>
      </c>
      <c r="B303" s="232"/>
      <c r="C303" s="229" t="s">
        <v>390</v>
      </c>
      <c r="D303" s="229"/>
      <c r="E303" s="183">
        <f>SUM(E289,E293,E296,E300)</f>
        <v>6113294</v>
      </c>
      <c r="F303" s="183">
        <f>SUM(F289,F293,F296,F300)</f>
        <v>6121005</v>
      </c>
      <c r="G303" s="183">
        <f>SUM(G289,G293,G296,G300)</f>
        <v>6120997.119999999</v>
      </c>
      <c r="H303" s="183">
        <f>SUM(H289,H293,H296,H300)</f>
        <v>848863.1</v>
      </c>
      <c r="I303" s="184">
        <f>ROUND(G303/F303*100,1)</f>
        <v>100</v>
      </c>
    </row>
    <row r="304" spans="1:9" ht="12.75">
      <c r="A304" s="232"/>
      <c r="B304" s="305"/>
      <c r="C304" s="349"/>
      <c r="D304" s="349"/>
      <c r="E304" s="325"/>
      <c r="F304" s="325"/>
      <c r="G304" s="325"/>
      <c r="H304" s="325"/>
      <c r="I304" s="334"/>
    </row>
    <row r="305" spans="1:3" ht="12.75">
      <c r="A305" s="350"/>
      <c r="B305" s="351" t="s">
        <v>295</v>
      </c>
      <c r="C305" s="200" t="s">
        <v>391</v>
      </c>
    </row>
    <row r="306" spans="2:3" ht="12.75">
      <c r="B306" s="176" t="s">
        <v>135</v>
      </c>
      <c r="C306" s="352" t="s">
        <v>392</v>
      </c>
    </row>
    <row r="307" spans="2:3" ht="12.75">
      <c r="B307" s="176" t="s">
        <v>393</v>
      </c>
      <c r="C307" s="352" t="s">
        <v>394</v>
      </c>
    </row>
    <row r="308" ht="12.75"/>
    <row r="309" ht="12.75"/>
    <row r="310" ht="12.75"/>
  </sheetData>
  <sheetProtection/>
  <printOptions/>
  <pageMargins left="0.25" right="0.25" top="0.75" bottom="0.75" header="0.3" footer="0.3"/>
  <pageSetup horizontalDpi="600" verticalDpi="600" orientation="portrait" paperSize="9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Indrek_K</dc:creator>
  <cp:keywords/>
  <dc:description/>
  <cp:lastModifiedBy>Indrek_K</cp:lastModifiedBy>
  <cp:lastPrinted>2013-01-25T08:56:47Z</cp:lastPrinted>
  <dcterms:created xsi:type="dcterms:W3CDTF">2013-01-23T09:14:54Z</dcterms:created>
  <dcterms:modified xsi:type="dcterms:W3CDTF">2013-01-25T08:57:34Z</dcterms:modified>
  <cp:category/>
  <cp:version/>
  <cp:contentType/>
  <cp:contentStatus/>
</cp:coreProperties>
</file>