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30" windowWidth="28320" windowHeight="12405"/>
  </bookViews>
  <sheets>
    <sheet name="eelarve täitmine" sheetId="2" r:id="rId1"/>
    <sheet name="investeeringud" sheetId="1" r:id="rId2"/>
  </sheets>
  <calcPr calcId="125725"/>
</workbook>
</file>

<file path=xl/calcChain.xml><?xml version="1.0" encoding="utf-8"?>
<calcChain xmlns="http://schemas.openxmlformats.org/spreadsheetml/2006/main">
  <c r="E72" i="2"/>
  <c r="F72" s="1"/>
  <c r="D72"/>
  <c r="E62"/>
  <c r="D62"/>
  <c r="E56"/>
  <c r="D56"/>
  <c r="E52"/>
  <c r="D52"/>
  <c r="E30"/>
  <c r="H30" s="1"/>
  <c r="I30" s="1"/>
  <c r="D30"/>
  <c r="E32"/>
  <c r="D32"/>
  <c r="E31"/>
  <c r="D31"/>
  <c r="E24"/>
  <c r="D24"/>
  <c r="E17"/>
  <c r="D17"/>
  <c r="E13"/>
  <c r="D13"/>
  <c r="E6"/>
  <c r="D6"/>
  <c r="H81"/>
  <c r="I81" s="1"/>
  <c r="F81"/>
  <c r="H80"/>
  <c r="I80" s="1"/>
  <c r="F80"/>
  <c r="H79"/>
  <c r="I79" s="1"/>
  <c r="F79"/>
  <c r="H78"/>
  <c r="H77"/>
  <c r="I77" s="1"/>
  <c r="F77"/>
  <c r="H76"/>
  <c r="I76" s="1"/>
  <c r="F76"/>
  <c r="H75"/>
  <c r="I75" s="1"/>
  <c r="F75"/>
  <c r="H74"/>
  <c r="H73"/>
  <c r="I73" s="1"/>
  <c r="F73"/>
  <c r="H71"/>
  <c r="I71" s="1"/>
  <c r="F71"/>
  <c r="H70"/>
  <c r="I70" s="1"/>
  <c r="F70"/>
  <c r="H69"/>
  <c r="I69" s="1"/>
  <c r="F69"/>
  <c r="H68"/>
  <c r="I68" s="1"/>
  <c r="F68"/>
  <c r="H67"/>
  <c r="I67" s="1"/>
  <c r="F67"/>
  <c r="H66"/>
  <c r="I66" s="1"/>
  <c r="F66"/>
  <c r="H65"/>
  <c r="I65" s="1"/>
  <c r="F65"/>
  <c r="H64"/>
  <c r="I64" s="1"/>
  <c r="F64"/>
  <c r="H63"/>
  <c r="I63" s="1"/>
  <c r="F63"/>
  <c r="F62"/>
  <c r="H60"/>
  <c r="I60" s="1"/>
  <c r="F60"/>
  <c r="H59"/>
  <c r="I59" s="1"/>
  <c r="F59"/>
  <c r="H58"/>
  <c r="H57"/>
  <c r="I57" s="1"/>
  <c r="F57"/>
  <c r="H56"/>
  <c r="I56" s="1"/>
  <c r="H55"/>
  <c r="H54"/>
  <c r="H53"/>
  <c r="I53" s="1"/>
  <c r="F53"/>
  <c r="H52"/>
  <c r="I52" s="1"/>
  <c r="F52"/>
  <c r="H49"/>
  <c r="I49" s="1"/>
  <c r="F49"/>
  <c r="H48"/>
  <c r="I48" s="1"/>
  <c r="F48"/>
  <c r="H47"/>
  <c r="I47" s="1"/>
  <c r="F47"/>
  <c r="H46"/>
  <c r="I46" s="1"/>
  <c r="F46"/>
  <c r="H45"/>
  <c r="I45" s="1"/>
  <c r="F45"/>
  <c r="H44"/>
  <c r="I44" s="1"/>
  <c r="F44"/>
  <c r="H43"/>
  <c r="I43" s="1"/>
  <c r="F43"/>
  <c r="I42"/>
  <c r="H42"/>
  <c r="F42"/>
  <c r="H41"/>
  <c r="I41" s="1"/>
  <c r="F41"/>
  <c r="H40"/>
  <c r="I40" s="1"/>
  <c r="F40"/>
  <c r="H39"/>
  <c r="I39" s="1"/>
  <c r="F39"/>
  <c r="H38"/>
  <c r="I38" s="1"/>
  <c r="F38"/>
  <c r="H37"/>
  <c r="I37" s="1"/>
  <c r="F37"/>
  <c r="H36"/>
  <c r="I36" s="1"/>
  <c r="F36"/>
  <c r="H35"/>
  <c r="I35" s="1"/>
  <c r="F35"/>
  <c r="H34"/>
  <c r="I34" s="1"/>
  <c r="F34"/>
  <c r="H33"/>
  <c r="I33" s="1"/>
  <c r="F33"/>
  <c r="H32"/>
  <c r="I32" s="1"/>
  <c r="F32"/>
  <c r="H31"/>
  <c r="I31" s="1"/>
  <c r="H28"/>
  <c r="I28" s="1"/>
  <c r="F28"/>
  <c r="H27"/>
  <c r="I27" s="1"/>
  <c r="F27"/>
  <c r="H26"/>
  <c r="I26" s="1"/>
  <c r="F26"/>
  <c r="H25"/>
  <c r="I25" s="1"/>
  <c r="F25"/>
  <c r="H23"/>
  <c r="I23" s="1"/>
  <c r="F23"/>
  <c r="H21"/>
  <c r="I21" s="1"/>
  <c r="F21"/>
  <c r="H20"/>
  <c r="I20" s="1"/>
  <c r="F20"/>
  <c r="I19"/>
  <c r="H19"/>
  <c r="F19"/>
  <c r="H18"/>
  <c r="H17"/>
  <c r="I17" s="1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I11" s="1"/>
  <c r="F11"/>
  <c r="H10"/>
  <c r="I10" s="1"/>
  <c r="F10"/>
  <c r="H9"/>
  <c r="I9" s="1"/>
  <c r="F9"/>
  <c r="H8"/>
  <c r="I8" s="1"/>
  <c r="F8"/>
  <c r="H7"/>
  <c r="I7" s="1"/>
  <c r="F7"/>
  <c r="D6" i="1"/>
  <c r="F6"/>
  <c r="G6"/>
  <c r="D7"/>
  <c r="F7"/>
  <c r="G7"/>
  <c r="D8"/>
  <c r="F8"/>
  <c r="G8"/>
  <c r="D14"/>
  <c r="D13" s="1"/>
  <c r="F14"/>
  <c r="F13" s="1"/>
  <c r="G14"/>
  <c r="G13" s="1"/>
  <c r="E15"/>
  <c r="E14" s="1"/>
  <c r="E16"/>
  <c r="H16" s="1"/>
  <c r="J16"/>
  <c r="E17"/>
  <c r="H17"/>
  <c r="H18"/>
  <c r="H19"/>
  <c r="H20"/>
  <c r="G22"/>
  <c r="E23"/>
  <c r="E22" s="1"/>
  <c r="F23"/>
  <c r="H23" s="1"/>
  <c r="H24"/>
  <c r="E27"/>
  <c r="F27"/>
  <c r="G27"/>
  <c r="G26" s="1"/>
  <c r="D28"/>
  <c r="D27" s="1"/>
  <c r="D26" s="1"/>
  <c r="D25" s="1"/>
  <c r="E28"/>
  <c r="H28"/>
  <c r="H29"/>
  <c r="D30"/>
  <c r="E30"/>
  <c r="H30"/>
  <c r="E31"/>
  <c r="H31"/>
  <c r="E32"/>
  <c r="H32"/>
  <c r="E33"/>
  <c r="H33"/>
  <c r="E34"/>
  <c r="H34"/>
  <c r="E35"/>
  <c r="H35"/>
  <c r="H37"/>
  <c r="H38"/>
  <c r="E39"/>
  <c r="H39"/>
  <c r="H40"/>
  <c r="H41"/>
  <c r="F42"/>
  <c r="H42"/>
  <c r="F48"/>
  <c r="G48"/>
  <c r="G5" s="1"/>
  <c r="G4" s="1"/>
  <c r="H48"/>
  <c r="E61"/>
  <c r="H61" s="1"/>
  <c r="F61"/>
  <c r="G61"/>
  <c r="H68"/>
  <c r="H73"/>
  <c r="D74"/>
  <c r="E74"/>
  <c r="F74"/>
  <c r="H74" s="1"/>
  <c r="H75"/>
  <c r="H76"/>
  <c r="H77"/>
  <c r="E78"/>
  <c r="F78"/>
  <c r="G78"/>
  <c r="H78"/>
  <c r="F81"/>
  <c r="G81"/>
  <c r="E82"/>
  <c r="E81" s="1"/>
  <c r="H81" s="1"/>
  <c r="H82"/>
  <c r="H83"/>
  <c r="D84"/>
  <c r="E84"/>
  <c r="F84"/>
  <c r="G84"/>
  <c r="H84"/>
  <c r="H85"/>
  <c r="H86"/>
  <c r="D87"/>
  <c r="E87"/>
  <c r="H87" s="1"/>
  <c r="F87"/>
  <c r="G87"/>
  <c r="H88"/>
  <c r="E89"/>
  <c r="J13" s="1"/>
  <c r="H89"/>
  <c r="D90"/>
  <c r="E90"/>
  <c r="F90"/>
  <c r="H90"/>
  <c r="H91"/>
  <c r="D92"/>
  <c r="F92"/>
  <c r="H93"/>
  <c r="H94"/>
  <c r="E95"/>
  <c r="E92" s="1"/>
  <c r="H95"/>
  <c r="E96"/>
  <c r="H96"/>
  <c r="H97"/>
  <c r="H98"/>
  <c r="E99"/>
  <c r="H99"/>
  <c r="G100"/>
  <c r="G92" s="1"/>
  <c r="H100"/>
  <c r="D102"/>
  <c r="D101" s="1"/>
  <c r="E102"/>
  <c r="F102"/>
  <c r="F101" s="1"/>
  <c r="G102"/>
  <c r="H102"/>
  <c r="H103"/>
  <c r="H104"/>
  <c r="D105"/>
  <c r="E105"/>
  <c r="F105"/>
  <c r="H105"/>
  <c r="H106"/>
  <c r="D107"/>
  <c r="F107"/>
  <c r="E108"/>
  <c r="E107" s="1"/>
  <c r="H107" s="1"/>
  <c r="H108"/>
  <c r="H109"/>
  <c r="E110"/>
  <c r="G110"/>
  <c r="G107" s="1"/>
  <c r="G101" s="1"/>
  <c r="H110"/>
  <c r="H111"/>
  <c r="E112"/>
  <c r="H112" s="1"/>
  <c r="H113"/>
  <c r="H114"/>
  <c r="D115"/>
  <c r="E115"/>
  <c r="F115"/>
  <c r="G115"/>
  <c r="H115"/>
  <c r="H116"/>
  <c r="H117"/>
  <c r="D119"/>
  <c r="D118" s="1"/>
  <c r="F119"/>
  <c r="F118" s="1"/>
  <c r="E120"/>
  <c r="E119" s="1"/>
  <c r="H120"/>
  <c r="E121"/>
  <c r="G121"/>
  <c r="G119" s="1"/>
  <c r="G118" s="1"/>
  <c r="H121"/>
  <c r="D122"/>
  <c r="E122"/>
  <c r="F122"/>
  <c r="G122"/>
  <c r="H122"/>
  <c r="H123"/>
  <c r="H124"/>
  <c r="H125"/>
  <c r="H126"/>
  <c r="H127"/>
  <c r="H128"/>
  <c r="H129"/>
  <c r="D130"/>
  <c r="E130"/>
  <c r="F130"/>
  <c r="G130"/>
  <c r="H130"/>
  <c r="H131"/>
  <c r="H132"/>
  <c r="H133"/>
  <c r="H134"/>
  <c r="D136"/>
  <c r="D135" s="1"/>
  <c r="F136"/>
  <c r="F135" s="1"/>
  <c r="G136"/>
  <c r="H137"/>
  <c r="H138"/>
  <c r="H139"/>
  <c r="E140"/>
  <c r="E7" s="1"/>
  <c r="H7" s="1"/>
  <c r="H141"/>
  <c r="E142"/>
  <c r="H142"/>
  <c r="H143"/>
  <c r="H144"/>
  <c r="H145"/>
  <c r="E146"/>
  <c r="F146"/>
  <c r="H146"/>
  <c r="H147"/>
  <c r="H148"/>
  <c r="H149"/>
  <c r="D150"/>
  <c r="F150"/>
  <c r="E151"/>
  <c r="E150" s="1"/>
  <c r="H150" s="1"/>
  <c r="G151"/>
  <c r="G150" s="1"/>
  <c r="G135" s="1"/>
  <c r="H151"/>
  <c r="E152"/>
  <c r="H152" s="1"/>
  <c r="H153"/>
  <c r="H154"/>
  <c r="H155"/>
  <c r="D156"/>
  <c r="F156"/>
  <c r="G156"/>
  <c r="E157"/>
  <c r="H157" s="1"/>
  <c r="E158"/>
  <c r="H158" s="1"/>
  <c r="F158"/>
  <c r="G158"/>
  <c r="H159"/>
  <c r="H160"/>
  <c r="H161"/>
  <c r="E162"/>
  <c r="F162"/>
  <c r="H162" s="1"/>
  <c r="G162"/>
  <c r="H163"/>
  <c r="D164"/>
  <c r="E164"/>
  <c r="F164"/>
  <c r="G164"/>
  <c r="H164"/>
  <c r="H165"/>
  <c r="D166"/>
  <c r="E166"/>
  <c r="F166"/>
  <c r="H166" s="1"/>
  <c r="G166"/>
  <c r="H167"/>
  <c r="H168"/>
  <c r="H169"/>
  <c r="H170"/>
  <c r="H171"/>
  <c r="E172"/>
  <c r="H172" s="1"/>
  <c r="F172"/>
  <c r="G172"/>
  <c r="H173"/>
  <c r="D175"/>
  <c r="D174" s="1"/>
  <c r="F175"/>
  <c r="F174" s="1"/>
  <c r="H176"/>
  <c r="H178"/>
  <c r="E179"/>
  <c r="E175" s="1"/>
  <c r="H179"/>
  <c r="E180"/>
  <c r="H180"/>
  <c r="E181"/>
  <c r="H181"/>
  <c r="D182"/>
  <c r="E182"/>
  <c r="H182" s="1"/>
  <c r="E183"/>
  <c r="E184"/>
  <c r="H184"/>
  <c r="E185"/>
  <c r="H185"/>
  <c r="E186"/>
  <c r="H186"/>
  <c r="H187"/>
  <c r="E188"/>
  <c r="H188" s="1"/>
  <c r="E189"/>
  <c r="E190"/>
  <c r="H190"/>
  <c r="G191"/>
  <c r="G175" s="1"/>
  <c r="H191"/>
  <c r="D192"/>
  <c r="F192"/>
  <c r="G192"/>
  <c r="E193"/>
  <c r="H193" s="1"/>
  <c r="E194"/>
  <c r="H194" s="1"/>
  <c r="H195"/>
  <c r="H196"/>
  <c r="E197"/>
  <c r="H197" s="1"/>
  <c r="H198"/>
  <c r="D199"/>
  <c r="F199"/>
  <c r="G199"/>
  <c r="E200"/>
  <c r="H200" s="1"/>
  <c r="E201"/>
  <c r="H201" s="1"/>
  <c r="E202"/>
  <c r="H202" s="1"/>
  <c r="H203"/>
  <c r="H204"/>
  <c r="E205"/>
  <c r="H205" s="1"/>
  <c r="H206"/>
  <c r="E207"/>
  <c r="H207"/>
  <c r="E208"/>
  <c r="H208"/>
  <c r="H209"/>
  <c r="D210"/>
  <c r="E210"/>
  <c r="F210"/>
  <c r="H210" s="1"/>
  <c r="H211"/>
  <c r="F212"/>
  <c r="G212"/>
  <c r="E213"/>
  <c r="E212" s="1"/>
  <c r="H212" s="1"/>
  <c r="H213"/>
  <c r="H214"/>
  <c r="H215"/>
  <c r="E216"/>
  <c r="H216"/>
  <c r="D217"/>
  <c r="E217"/>
  <c r="F217"/>
  <c r="H217"/>
  <c r="E218"/>
  <c r="H218"/>
  <c r="D219"/>
  <c r="F219"/>
  <c r="E220"/>
  <c r="E219" s="1"/>
  <c r="H219" s="1"/>
  <c r="G220"/>
  <c r="H220"/>
  <c r="E221"/>
  <c r="G221"/>
  <c r="G219" s="1"/>
  <c r="H221"/>
  <c r="E222"/>
  <c r="H222" s="1"/>
  <c r="F222"/>
  <c r="G222"/>
  <c r="H223"/>
  <c r="D225"/>
  <c r="F225"/>
  <c r="F224" s="1"/>
  <c r="G225"/>
  <c r="E226"/>
  <c r="E225" s="1"/>
  <c r="E224" s="1"/>
  <c r="H226"/>
  <c r="D227"/>
  <c r="E227"/>
  <c r="H227" s="1"/>
  <c r="F227"/>
  <c r="G227"/>
  <c r="G224" s="1"/>
  <c r="H228"/>
  <c r="E229"/>
  <c r="H229" s="1"/>
  <c r="F229"/>
  <c r="G229"/>
  <c r="D230"/>
  <c r="D229" s="1"/>
  <c r="E230"/>
  <c r="H230"/>
  <c r="E231"/>
  <c r="H231"/>
  <c r="E51" i="2" l="1"/>
  <c r="D51"/>
  <c r="E5"/>
  <c r="D5"/>
  <c r="E22"/>
  <c r="D22"/>
  <c r="H24"/>
  <c r="I24" s="1"/>
  <c r="F24"/>
  <c r="E29"/>
  <c r="E50" s="1"/>
  <c r="H5"/>
  <c r="I5" s="1"/>
  <c r="H6"/>
  <c r="I6" s="1"/>
  <c r="F17"/>
  <c r="H22"/>
  <c r="I22" s="1"/>
  <c r="F31"/>
  <c r="F56"/>
  <c r="H62"/>
  <c r="I62" s="1"/>
  <c r="H72"/>
  <c r="I72" s="1"/>
  <c r="F6"/>
  <c r="E118" i="1"/>
  <c r="H119"/>
  <c r="J14"/>
  <c r="H92"/>
  <c r="E13"/>
  <c r="H14"/>
  <c r="H13"/>
  <c r="H224"/>
  <c r="D224"/>
  <c r="G174"/>
  <c r="H118"/>
  <c r="E101"/>
  <c r="H101" s="1"/>
  <c r="E5"/>
  <c r="G25"/>
  <c r="E26"/>
  <c r="E25" s="1"/>
  <c r="E199"/>
  <c r="H199" s="1"/>
  <c r="H175"/>
  <c r="E156"/>
  <c r="H156" s="1"/>
  <c r="F26"/>
  <c r="F22"/>
  <c r="H22" s="1"/>
  <c r="E8"/>
  <c r="H8" s="1"/>
  <c r="E6"/>
  <c r="H6" s="1"/>
  <c r="F5"/>
  <c r="D5"/>
  <c r="D4" s="1"/>
  <c r="H225"/>
  <c r="E192"/>
  <c r="H192" s="1"/>
  <c r="H140"/>
  <c r="E136"/>
  <c r="H27"/>
  <c r="J19"/>
  <c r="H15"/>
  <c r="D29" i="2" l="1"/>
  <c r="D50" s="1"/>
  <c r="F5"/>
  <c r="F22"/>
  <c r="H50"/>
  <c r="I50" s="1"/>
  <c r="H29"/>
  <c r="I29" s="1"/>
  <c r="F51"/>
  <c r="H51"/>
  <c r="I51" s="1"/>
  <c r="E135" i="1"/>
  <c r="H135" s="1"/>
  <c r="H136"/>
  <c r="F25"/>
  <c r="H26"/>
  <c r="E4"/>
  <c r="E174"/>
  <c r="H174" s="1"/>
  <c r="F4"/>
  <c r="H5"/>
  <c r="H4" l="1"/>
  <c r="H25"/>
</calcChain>
</file>

<file path=xl/comments1.xml><?xml version="1.0" encoding="utf-8"?>
<comments xmlns="http://schemas.openxmlformats.org/spreadsheetml/2006/main">
  <authors>
    <author>kerstis</author>
  </authors>
  <commentList>
    <comment ref="C42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186"/>
          </rPr>
          <t>kerstis:</t>
        </r>
        <r>
          <rPr>
            <sz val="8"/>
            <color indexed="81"/>
            <rFont val="Tahoma"/>
            <family val="2"/>
            <charset val="186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comments2.xml><?xml version="1.0" encoding="utf-8"?>
<comments xmlns="http://schemas.openxmlformats.org/spreadsheetml/2006/main">
  <authors>
    <author>merke</author>
  </authors>
  <commentList>
    <comment ref="E214" authorId="0">
      <text>
        <r>
          <rPr>
            <b/>
            <sz val="8"/>
            <color indexed="81"/>
            <rFont val="Tahoma"/>
            <family val="2"/>
            <charset val="186"/>
          </rPr>
          <t>merke:</t>
        </r>
        <r>
          <rPr>
            <sz val="8"/>
            <color indexed="81"/>
            <rFont val="Tahoma"/>
            <family val="2"/>
            <charset val="186"/>
          </rPr>
          <t xml:space="preserve">
sh omatulud 114899</t>
        </r>
      </text>
    </comment>
    <comment ref="F214" authorId="0">
      <text>
        <r>
          <rPr>
            <b/>
            <sz val="8"/>
            <color indexed="81"/>
            <rFont val="Tahoma"/>
            <family val="2"/>
            <charset val="186"/>
          </rPr>
          <t>merke:</t>
        </r>
        <r>
          <rPr>
            <sz val="8"/>
            <color indexed="81"/>
            <rFont val="Tahoma"/>
            <family val="2"/>
            <charset val="186"/>
          </rPr>
          <t xml:space="preserve">
sh omatulud 112 623,1</t>
        </r>
      </text>
    </comment>
  </commentList>
</comments>
</file>

<file path=xl/sharedStrings.xml><?xml version="1.0" encoding="utf-8"?>
<sst xmlns="http://schemas.openxmlformats.org/spreadsheetml/2006/main" count="673" uniqueCount="338">
  <si>
    <t>PVS</t>
  </si>
  <si>
    <t>Annelinna uue piirkonnakeskuse rajamine (Anne 44)</t>
  </si>
  <si>
    <t>LVO</t>
  </si>
  <si>
    <t>OÜ Anne Saun (Anne 44) pesuruumide rekonstrueerimine</t>
  </si>
  <si>
    <t xml:space="preserve">   Muud riskirühmade sotsiaalhoolekande
   asutused </t>
  </si>
  <si>
    <t>Lastekodu Käopesa (Jaama 72)</t>
  </si>
  <si>
    <t xml:space="preserve">   Laste ja noorte hoolekande asutused</t>
  </si>
  <si>
    <t>Hooldekodule majandus- ja hooldusinventari soetus</t>
  </si>
  <si>
    <t>SO</t>
  </si>
  <si>
    <r>
      <t xml:space="preserve">   </t>
    </r>
    <r>
      <rPr>
        <b/>
        <i/>
        <sz val="11"/>
        <rFont val="Times New Roman"/>
        <family val="1"/>
        <charset val="186"/>
      </rPr>
      <t>Eakate hoolekande asutused</t>
    </r>
  </si>
  <si>
    <t>Sotsiaalne kaitse</t>
  </si>
  <si>
    <t>ASF</t>
  </si>
  <si>
    <t>MTÜ-le Emajõe Lodjaselts reisilaeva "Vanemuine" taastamiseks ujuva õppeklassina</t>
  </si>
  <si>
    <t>HO</t>
  </si>
  <si>
    <t xml:space="preserve">   Muud hariduse abiteenused</t>
  </si>
  <si>
    <t>Haridusasutuste rekonstrueerimistööde projekteerimised</t>
  </si>
  <si>
    <t>Ettekirjutiste täitmine</t>
  </si>
  <si>
    <t xml:space="preserve">   Muu haridus </t>
  </si>
  <si>
    <t>Kutsehariduskeskus (Põllu 11) parkla rajamine</t>
  </si>
  <si>
    <r>
      <t xml:space="preserve">   </t>
    </r>
    <r>
      <rPr>
        <b/>
        <i/>
        <sz val="11"/>
        <rFont val="Times New Roman"/>
        <family val="1"/>
        <charset val="186"/>
      </rPr>
      <t>Taseme alusel mittemääratletav haridus</t>
    </r>
  </si>
  <si>
    <t>Kutsehariduskeskusele masinate ja seadmete soetus</t>
  </si>
  <si>
    <t>Kutsehariduskeskus (Kopli 1)</t>
  </si>
  <si>
    <t>Kutsehariduskeskus (Põllu 11,Kopli 1)</t>
  </si>
  <si>
    <t>Kutsehariduskeskus (Põllu 11)</t>
  </si>
  <si>
    <r>
      <t xml:space="preserve">   </t>
    </r>
    <r>
      <rPr>
        <b/>
        <i/>
        <sz val="11"/>
        <rFont val="Times New Roman"/>
        <family val="1"/>
        <charset val="186"/>
      </rPr>
      <t>Kutseõppeasutused</t>
    </r>
  </si>
  <si>
    <t>Täiskasvanute Gümnaasium (Riia 142 )</t>
  </si>
  <si>
    <r>
      <t xml:space="preserve">   </t>
    </r>
    <r>
      <rPr>
        <b/>
        <i/>
        <sz val="11"/>
        <rFont val="Times New Roman"/>
        <family val="1"/>
        <charset val="186"/>
      </rPr>
      <t>Täiskasvanute Gümnaasium</t>
    </r>
  </si>
  <si>
    <t>Koolide spordiväljakute inventar</t>
  </si>
  <si>
    <t>Kristjan Jaak Petersoni pronkskuju soetamine</t>
  </si>
  <si>
    <t>Miina Härma Gümnaasium (Tõnissoni 3)</t>
  </si>
  <si>
    <t>Klaveri ost Karlova Gümnaasiumile</t>
  </si>
  <si>
    <t>Karlova Kool (Lina 2)</t>
  </si>
  <si>
    <t>Koolihoone (Nooruse 9)</t>
  </si>
  <si>
    <t>Variku Kool (endine Kunstigümnaasium)(Aianduse 4)</t>
  </si>
  <si>
    <t>Descartes'i Lütseum (Anne 65)</t>
  </si>
  <si>
    <t>Kivilinna Gümnaasium (Kaunase pst 71)</t>
  </si>
  <si>
    <t xml:space="preserve">    Gümnaasiumid</t>
  </si>
  <si>
    <t>Maarja Kooli tool-tõstuki soetamine ja paigaldamine</t>
  </si>
  <si>
    <t>Veeriku Kool (Veeriku 41)</t>
  </si>
  <si>
    <t xml:space="preserve">Raatuse Kool (Raatuse 88a) </t>
  </si>
  <si>
    <t>Forseliuse Kool (Tähe 103)</t>
  </si>
  <si>
    <t>M. Reiniku Kool (Riia 25)</t>
  </si>
  <si>
    <t xml:space="preserve">   Põhikoolid</t>
  </si>
  <si>
    <t>Mänguväljaku rajamine</t>
  </si>
  <si>
    <t>Lasteaedade välistreppide rekonstrueerimine</t>
  </si>
  <si>
    <t xml:space="preserve">Tartu Vaba Waldorfkool </t>
  </si>
  <si>
    <t>Lasteaed Poku (Anne 69)</t>
  </si>
  <si>
    <t>Ülikooli 1 lastehoiu ruumide remont</t>
  </si>
  <si>
    <t>Lasteaed Kelluke Kaunase pst 69</t>
  </si>
  <si>
    <t>Lasteaed Meelespea Ilmatsalu 24a</t>
  </si>
  <si>
    <t>Lasteaed Maarjamõisa (Puusepa 10)</t>
  </si>
  <si>
    <t>Lasteaed Ploomike (Ploomi 1)</t>
  </si>
  <si>
    <t>Kesklinna Lastekeskus (Akadeemia 2)</t>
  </si>
  <si>
    <t>Lasteaed Hellik (Aardla 138)</t>
  </si>
  <si>
    <t>Lasteaedade köökide sisustamine</t>
  </si>
  <si>
    <t>Ventilatsioonide korrastamine lasteaedade köökides</t>
  </si>
  <si>
    <t>Lasteaedade projekteerimine</t>
  </si>
  <si>
    <t>Täiendavad lasteaiarühmad</t>
  </si>
  <si>
    <t>Uute lasteaia- ja -hoiukohtade loomise toetus</t>
  </si>
  <si>
    <t xml:space="preserve">   Lasteaiad</t>
  </si>
  <si>
    <t>Haridus</t>
  </si>
  <si>
    <t>Heli, valgus ja kinotehnika soetus (kaasav eelarve)</t>
  </si>
  <si>
    <t>KO</t>
  </si>
  <si>
    <t xml:space="preserve">   Seltsitegevus</t>
  </si>
  <si>
    <t>Restaureerimise toetused</t>
  </si>
  <si>
    <t>AEO</t>
  </si>
  <si>
    <t>Vabadussõja kangelaste memoriaali projekteerimine</t>
  </si>
  <si>
    <t xml:space="preserve">Toetus EELK Tartu Peetri Kogudusele </t>
  </si>
  <si>
    <t>RO</t>
  </si>
  <si>
    <t xml:space="preserve">ToetusTartu Maarja Kiriku SA-le </t>
  </si>
  <si>
    <t xml:space="preserve">Toetus SAle Tartu Pauluse Kirik </t>
  </si>
  <si>
    <t xml:space="preserve">   Muinsuskaitse</t>
  </si>
  <si>
    <t>Linnamuuseum (Narva mnt 23)</t>
  </si>
  <si>
    <t xml:space="preserve">  Muuseumid</t>
  </si>
  <si>
    <t xml:space="preserve">O.Lutsu nim.Linnaraamatukogu Kompanii 3/5 </t>
  </si>
  <si>
    <t xml:space="preserve">   Raamatukogud</t>
  </si>
  <si>
    <t>MTÜ-le Tartu Kalev Veemotoklubi võistluspaadi soetus</t>
  </si>
  <si>
    <t>SK-le Biomechanics Group kahe võistlusbatuudi soetuse toetus</t>
  </si>
  <si>
    <t>Vooremäe Terviserajale rajatraktori soetus</t>
  </si>
  <si>
    <t xml:space="preserve">   Vaba aja üritused</t>
  </si>
  <si>
    <t xml:space="preserve">Anne Noortekeskus (Uus 56) </t>
  </si>
  <si>
    <t xml:space="preserve">   Laste huvialamajad ja keskused</t>
  </si>
  <si>
    <t>Pillide ost</t>
  </si>
  <si>
    <t>H.Elleri nim.Tartu Muusikakool kontsertklaveri soetus</t>
  </si>
  <si>
    <t>Tartu Loodusmaja (Lille 10)</t>
  </si>
  <si>
    <t>II Muusikakool (Kaunase pst 23)</t>
  </si>
  <si>
    <r>
      <t xml:space="preserve">   </t>
    </r>
    <r>
      <rPr>
        <b/>
        <i/>
        <sz val="11"/>
        <rFont val="Times New Roman"/>
        <family val="1"/>
        <charset val="186"/>
      </rPr>
      <t>Laste huvikoolid</t>
    </r>
  </si>
  <si>
    <t>Sa Tähtvere Puhkepark võimlemislinnaku rajamine</t>
  </si>
  <si>
    <t>SA Tähtvere Puhkepark BMX raja remont</t>
  </si>
  <si>
    <t>SA Tartu Puhkepark laululava ja raadiomaja valguskaabli paigaldus</t>
  </si>
  <si>
    <t xml:space="preserve">   Puhkepargid</t>
  </si>
  <si>
    <t>MTÜ Tenniseklubi  tenniseväljakute rekonstrueerimise toetus</t>
  </si>
  <si>
    <t>SA Tartu Sport Annemõisa hokikeskuse renov.</t>
  </si>
  <si>
    <t>MTÜ Tartu Koerasport koerte treeningusaali 
põrandakatte soetus</t>
  </si>
  <si>
    <t>Annelinna kunstmuruväljak</t>
  </si>
  <si>
    <t>Sõudmise ja Aerutamiskeskuse  olmehoone Ranna tee 3</t>
  </si>
  <si>
    <t>SA Tartu Sport</t>
  </si>
  <si>
    <t>Veski spordibaasi renoveerimine</t>
  </si>
  <si>
    <t>TÜ spordihoone renoveerimise toetus</t>
  </si>
  <si>
    <t>EMÜ spordihoone ehitamise toetus</t>
  </si>
  <si>
    <t xml:space="preserve">   Spordibaasid</t>
  </si>
  <si>
    <t>Vabaaeg ja kultuur</t>
  </si>
  <si>
    <t>Asutusele Kalmistu murutraktori soetus</t>
  </si>
  <si>
    <t>LMO</t>
  </si>
  <si>
    <t>Raadi kalmistu aia remont</t>
  </si>
  <si>
    <t>Tuigo kalmistule uue salvkaevu ehitus</t>
  </si>
  <si>
    <t>Raadi kalmistu kontorihoone remont</t>
  </si>
  <si>
    <t xml:space="preserve">  Muu elamu- ja kommunaaltegevus</t>
  </si>
  <si>
    <t>Ropka mänguväljaku valgustus</t>
  </si>
  <si>
    <t>Ohtlike tänavavalgustusmastide vahetus</t>
  </si>
  <si>
    <t>Amortiseerunud telemeetriaseadmete väljavahetamine</t>
  </si>
  <si>
    <t>Projekt " Efektiivne ja keskkonnasõbralik tänavavalgustus I"</t>
  </si>
  <si>
    <t>Olemasolevate valgustite asendamine  LED ja säästuseadmetega valgustitega</t>
  </si>
  <si>
    <t>Õhuliinide rekonstrueerimine koostöös Elektrilevi OÜ-ga</t>
  </si>
  <si>
    <t xml:space="preserve">   Tänavavalgustus</t>
  </si>
  <si>
    <t xml:space="preserve">Linnale kuuluvate elamute remont </t>
  </si>
  <si>
    <t xml:space="preserve">Linnale kuuluvate korterite remont </t>
  </si>
  <si>
    <t xml:space="preserve">   Elamumajanduse arendamine</t>
  </si>
  <si>
    <t>Elamu ja kommunaalmajandus</t>
  </si>
  <si>
    <t>Projekt "Säästliku ja jätkusuutliku harrastuskalapüügi arendamine Emajõel"</t>
  </si>
  <si>
    <t xml:space="preserve">   Muu keskkonnakaitse</t>
  </si>
  <si>
    <t>Linnupeletite ost</t>
  </si>
  <si>
    <t>Anne kanali sild talisuplejatele</t>
  </si>
  <si>
    <t>Politseipargi korrastamine</t>
  </si>
  <si>
    <t>Jaamamõisa mänguväljaku projekteerimine</t>
  </si>
  <si>
    <t>Mänguväljakute rajamine</t>
  </si>
  <si>
    <t>Toomemäe pargi treppide ja kõnniteede remont</t>
  </si>
  <si>
    <t>Anne kanali tualettide projekteerimine ja ehitus</t>
  </si>
  <si>
    <r>
      <t xml:space="preserve">   </t>
    </r>
    <r>
      <rPr>
        <b/>
        <i/>
        <sz val="11"/>
        <rFont val="Times New Roman"/>
        <family val="1"/>
        <charset val="186"/>
      </rPr>
      <t>Haljastus</t>
    </r>
  </si>
  <si>
    <t>Hüdrantide rajamine</t>
  </si>
  <si>
    <t xml:space="preserve">   Veemajandus</t>
  </si>
  <si>
    <t>Jäätmekäitluse tarkvara</t>
  </si>
  <si>
    <t>Jäätmemajade rajamine, sügavkogumismahutite paigaldamine</t>
  </si>
  <si>
    <r>
      <t xml:space="preserve">   </t>
    </r>
    <r>
      <rPr>
        <b/>
        <i/>
        <sz val="11"/>
        <rFont val="Times New Roman"/>
        <family val="1"/>
        <charset val="186"/>
      </rPr>
      <t>Jäätmekäitlus</t>
    </r>
  </si>
  <si>
    <t>Keskkonnakaitse</t>
  </si>
  <si>
    <t>Kalevi 13 Loomemajanduskeskuse hoone  remont</t>
  </si>
  <si>
    <t>Raekoja plats 18 invatõstuki paigaldus</t>
  </si>
  <si>
    <t xml:space="preserve">Tartu Saksa Kultuuri Instituut </t>
  </si>
  <si>
    <t>Küüni 1 I korruse ruumide remont</t>
  </si>
  <si>
    <t>Vaksali 14 remont</t>
  </si>
  <si>
    <t>Korteriühistute remondifond</t>
  </si>
  <si>
    <t xml:space="preserve"> Tiigi 11 remont</t>
  </si>
  <si>
    <t>Ettekirjutuste täitmiseks linna hoonetes</t>
  </si>
  <si>
    <t xml:space="preserve">  Muu majandus</t>
  </si>
  <si>
    <t xml:space="preserve">Toetus SA-le Tartu Teaduspark infrastruktuuri arendamiseks </t>
  </si>
  <si>
    <t>EVO</t>
  </si>
  <si>
    <r>
      <t xml:space="preserve">   </t>
    </r>
    <r>
      <rPr>
        <b/>
        <i/>
        <sz val="11"/>
        <rFont val="Times New Roman"/>
        <family val="1"/>
        <charset val="186"/>
      </rPr>
      <t>Üldmajanduslikud arendusprojektid</t>
    </r>
  </si>
  <si>
    <t>Sõpruse silla paadisadam</t>
  </si>
  <si>
    <t xml:space="preserve">   Veetransport</t>
  </si>
  <si>
    <t>Projekt “Tartu ühistranspordi juhtimis- ja kontrollsüsteemi arendamine"</t>
  </si>
  <si>
    <r>
      <t xml:space="preserve">   </t>
    </r>
    <r>
      <rPr>
        <b/>
        <i/>
        <sz val="11"/>
        <rFont val="Times New Roman"/>
        <family val="1"/>
        <charset val="186"/>
      </rPr>
      <t>Transpordikorraldus</t>
    </r>
  </si>
  <si>
    <t>Võidu sild</t>
  </si>
  <si>
    <t xml:space="preserve">Sillad </t>
  </si>
  <si>
    <t xml:space="preserve">   Rahu tn taastusremont</t>
  </si>
  <si>
    <t xml:space="preserve">   Kruusamäe tn kõnnitee</t>
  </si>
  <si>
    <t>Koostöö võrguarendajatega</t>
  </si>
  <si>
    <t>Kvissentali elamurajoon</t>
  </si>
  <si>
    <t>Oksa ja Ladva tänavad</t>
  </si>
  <si>
    <t>Lõunakeskuse teed</t>
  </si>
  <si>
    <t>Infrastruktuuri arenduste kompensatsioonid</t>
  </si>
  <si>
    <t>Sadevee liitumistasu</t>
  </si>
  <si>
    <t xml:space="preserve">   Tähe tn kõnnitee</t>
  </si>
  <si>
    <t xml:space="preserve">   Mõisavahe tn</t>
  </si>
  <si>
    <t xml:space="preserve">   Narva mnt vasakpoolne kõnnitee</t>
  </si>
  <si>
    <t xml:space="preserve">   Kuperjanovi-Kastani ristmiku kõnnitee</t>
  </si>
  <si>
    <t xml:space="preserve">   kergliiklustee EMÜ-Supilinn</t>
  </si>
  <si>
    <t xml:space="preserve">   Tähtvere spordipargi asfalteeritud rullirada</t>
  </si>
  <si>
    <t xml:space="preserve">   Kaunase pst 7 esise kõnniteeehitus</t>
  </si>
  <si>
    <t xml:space="preserve">   Kalda tee kõnnitee</t>
  </si>
  <si>
    <t xml:space="preserve">   Teguri tn</t>
  </si>
  <si>
    <t xml:space="preserve">   Lai-Jakobi ülekäigurada</t>
  </si>
  <si>
    <t>Jalg- ja jalgrattateed</t>
  </si>
  <si>
    <t xml:space="preserve">   Lammi tn</t>
  </si>
  <si>
    <t xml:space="preserve">   Tehase tn</t>
  </si>
  <si>
    <t xml:space="preserve">   Nurme tn</t>
  </si>
  <si>
    <t xml:space="preserve">   Tähtvere tn</t>
  </si>
  <si>
    <t xml:space="preserve">   Põhja pst</t>
  </si>
  <si>
    <t xml:space="preserve">   Tuglase tn</t>
  </si>
  <si>
    <t xml:space="preserve">   Riia tn</t>
  </si>
  <si>
    <t xml:space="preserve">   Ravila tn </t>
  </si>
  <si>
    <t xml:space="preserve">   Hipodroomi tn</t>
  </si>
  <si>
    <t xml:space="preserve">   Jalaka tn</t>
  </si>
  <si>
    <t xml:space="preserve">   Betooni tn</t>
  </si>
  <si>
    <t xml:space="preserve">   Aardla tn</t>
  </si>
  <si>
    <t>Ülekatted ja pindamised</t>
  </si>
  <si>
    <t xml:space="preserve">   Sepavälja tn</t>
  </si>
  <si>
    <t xml:space="preserve">   Sarapuu tn</t>
  </si>
  <si>
    <t xml:space="preserve">   Ranna tn</t>
  </si>
  <si>
    <t xml:space="preserve">   Lõkketule tn</t>
  </si>
  <si>
    <t xml:space="preserve">   Liiva tn</t>
  </si>
  <si>
    <t>Kruusakattega tänavate asfalteerimine</t>
  </si>
  <si>
    <t>Kesk Kaar tn rekonstrueerimise projekteerimine</t>
  </si>
  <si>
    <t>Sanatooriumi, Nooruse, Teaduse tn projekteerimine</t>
  </si>
  <si>
    <t>Vaksali tn pikendusele parkla rajamise I etapp</t>
  </si>
  <si>
    <t>Soinaste-Aardla-Raudtee ringristmiku tehniline projekt</t>
  </si>
  <si>
    <t>Rüütli tn</t>
  </si>
  <si>
    <t>Vaksali-Tiigi ristmiku parkla renoveerimine</t>
  </si>
  <si>
    <t>Vaksali-Riia ristmik</t>
  </si>
  <si>
    <t xml:space="preserve">Jalaka tn (Aardla ristmik) ülekäiguraja projekteerimine ja ehitus </t>
  </si>
  <si>
    <t xml:space="preserve">Pargi tn teekatte rekonstrueerimine </t>
  </si>
  <si>
    <t>Muuseumi tee koos kergliiklusteedega (Narva mnt-Roosi)</t>
  </si>
  <si>
    <t>Roosi tn koos kergliiklusteedega (Muuseumi tee- Jänese)</t>
  </si>
  <si>
    <t>Savi tn ehitus ja järelvalve</t>
  </si>
  <si>
    <t>Tartu idapoolse ringtee projekteerimine ja ehitamine</t>
  </si>
  <si>
    <t>Tänavate rekonstrueerimine, ehitus</t>
  </si>
  <si>
    <t xml:space="preserve">  Linna teed, tänavad ja sillad</t>
  </si>
  <si>
    <t>Majandus</t>
  </si>
  <si>
    <t>Tartu linna videoseiresüsteemi uuendamine</t>
  </si>
  <si>
    <r>
      <t xml:space="preserve">   </t>
    </r>
    <r>
      <rPr>
        <b/>
        <i/>
        <sz val="11"/>
        <rFont val="Times New Roman"/>
        <family val="1"/>
        <charset val="186"/>
      </rPr>
      <t>Politsei</t>
    </r>
  </si>
  <si>
    <t>Avalik kord</t>
  </si>
  <si>
    <t>Kaasav eelarve (täitmine kajastub kultuuriosak.seltsitegevuses)</t>
  </si>
  <si>
    <t>FK</t>
  </si>
  <si>
    <t>SA Tartu Loomemajanduskeskuse laenude intressid</t>
  </si>
  <si>
    <t>Linnavalitsuse serverite parendamine</t>
  </si>
  <si>
    <t>LK</t>
  </si>
  <si>
    <t>Maarja kooli bussi liisingu intressid</t>
  </si>
  <si>
    <t>Raamatukogu väikebussi liisingu intressid</t>
  </si>
  <si>
    <t>Riigi Kinnisvara ASile (H. Masingu Kooli ja J. Poska Gümnaasiumi) intressid</t>
  </si>
  <si>
    <t>Linna laenude teenindamine</t>
  </si>
  <si>
    <r>
      <t xml:space="preserve">   </t>
    </r>
    <r>
      <rPr>
        <b/>
        <i/>
        <sz val="11"/>
        <rFont val="Times New Roman"/>
        <family val="1"/>
        <charset val="186"/>
      </rPr>
      <t>Valitsussektori võla teenindamine</t>
    </r>
  </si>
  <si>
    <t>Üldised valitsussektori teenused</t>
  </si>
  <si>
    <t>%</t>
  </si>
  <si>
    <t>sh dets.</t>
  </si>
  <si>
    <t xml:space="preserve">Täitmine
a algusest </t>
  </si>
  <si>
    <t>Täpsustatud
eelarve
eelarve</t>
  </si>
  <si>
    <t>Kinntatud
eelarve</t>
  </si>
  <si>
    <t>Investeerimistegevuse kulud objektide lõikes</t>
  </si>
  <si>
    <t>Finantskulud</t>
  </si>
  <si>
    <t>Põhivara soetuseks antav sihtfinantseerimine</t>
  </si>
  <si>
    <t>sh toetusest</t>
  </si>
  <si>
    <t>Põhivara soetus</t>
  </si>
  <si>
    <t>Investeerimistegevuse kulud  kokku</t>
  </si>
  <si>
    <t xml:space="preserve"> </t>
  </si>
  <si>
    <t>Täpsustatud
eelarve</t>
  </si>
  <si>
    <t>Kinnit.e/a</t>
  </si>
  <si>
    <t xml:space="preserve">                                             seisuga 31.12.2014</t>
  </si>
  <si>
    <t xml:space="preserve">2014.a eelarve investeerimistegevuse kulud </t>
  </si>
  <si>
    <t>Eelarve täitmise aruanne</t>
  </si>
  <si>
    <t>Tartu Linnavalitsus</t>
  </si>
  <si>
    <t>seisuga:</t>
  </si>
  <si>
    <t xml:space="preserve">Eelarve </t>
  </si>
  <si>
    <t>Täitmine</t>
  </si>
  <si>
    <t>kasv</t>
  </si>
  <si>
    <t>Klassifikaator</t>
  </si>
  <si>
    <t>Kirje nimetus</t>
  </si>
  <si>
    <t>täitmine</t>
  </si>
  <si>
    <t>eurodes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</si>
  <si>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</si>
  <si>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</si>
  <si>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</si>
  <si>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</si>
  <si>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</si>
  <si>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</si>
  <si>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</si>
  <si>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</si>
  <si>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</si>
  <si>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</si>
  <si>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</si>
  <si>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</si>
  <si>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</si>
  <si>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</si>
  <si>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</si>
  <si>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</si>
  <si>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</si>
  <si>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</si>
  <si>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</si>
  <si>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</si>
  <si>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x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</si>
  <si>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</si>
  <si>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</si>
  <si>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</si>
  <si>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</si>
  <si>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</si>
  <si>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</si>
  <si>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</si>
  <si>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</si>
  <si>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</si>
  <si>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</si>
  <si>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</si>
  <si>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</si>
  <si>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</si>
  <si>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</si>
  <si>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</si>
  <si>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</si>
  <si>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</si>
  <si>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</si>
  <si>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</si>
  <si>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</si>
  <si>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</si>
  <si>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</si>
  <si>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seadmete,sh.trp.vahendite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</si>
  <si>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</si>
  <si>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</si>
  <si>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</si>
  <si>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</si>
  <si>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</si>
  <si>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</si>
  <si>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</si>
  <si>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</si>
  <si>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</si>
  <si>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</si>
  <si>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</si>
  <si>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</si>
  <si>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</si>
  <si>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</si>
  <si>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</si>
  <si>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</si>
  <si>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</si>
  <si>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</si>
  <si>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</si>
  <si>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</si>
  <si>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</si>
  <si>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</si>
  <si>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</si>
  <si>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</si>
  <si>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</si>
  <si>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</si>
  <si>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</si>
  <si>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</si>
  <si>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</si>
  <si>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</si>
  <si>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</si>
  <si>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</si>
  <si>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</si>
  <si>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</si>
  <si>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03</t>
  </si>
  <si>
    <t>Avalik kord ja julgeolek</t>
  </si>
  <si>
    <t>04</t>
  </si>
  <si>
    <t>05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</si>
  <si>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</si>
  <si>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</si>
  <si>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</si>
  <si>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</si>
  <si>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</si>
  <si>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</si>
  <si>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</si>
  <si>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10</t>
  </si>
  <si>
    <t>Investeerimistegevuse kulud TEGEVUSALATI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</si>
</sst>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(* #,##0.00_);_(* \(#,##0.00\);_(* &quot;-&quot;??_);_(@_)"/>
    <numFmt numFmtId="167" formatCode="0.0%"/>
  </numFmts>
  <fonts count="30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9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rgb="FF0000FF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ED2D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CC"/>
        <bgColor indexed="64"/>
      </patternFill>
    </fill>
  </fills>
  <borders count="6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2" applyNumberFormat="0" applyFont="0" applyAlignment="0" applyProtection="0"/>
    <xf numFmtId="0" fontId="1" fillId="7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276">
    <xf numFmtId="0" fontId="0" fillId="0" borderId="0" xfId="0"/>
    <xf numFmtId="0" fontId="3" fillId="0" borderId="0" xfId="0" applyFont="1" applyFill="1"/>
    <xf numFmtId="164" fontId="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5" fontId="3" fillId="0" borderId="1" xfId="0" applyNumberFormat="1" applyFont="1" applyFill="1" applyBorder="1"/>
    <xf numFmtId="3" fontId="3" fillId="0" borderId="0" xfId="0" applyNumberFormat="1" applyFont="1" applyFill="1"/>
    <xf numFmtId="3" fontId="3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3" fontId="3" fillId="2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3" fillId="3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3" fontId="3" fillId="4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3" fontId="10" fillId="0" borderId="1" xfId="0" applyNumberFormat="1" applyFont="1" applyFill="1" applyBorder="1"/>
    <xf numFmtId="3" fontId="11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165" fontId="3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0" fontId="4" fillId="4" borderId="1" xfId="0" applyFont="1" applyFill="1" applyBorder="1" applyAlignment="1">
      <alignment wrapText="1"/>
    </xf>
    <xf numFmtId="165" fontId="3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3" fontId="3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0" fontId="3" fillId="0" borderId="1" xfId="1" applyFont="1" applyBorder="1" applyAlignment="1">
      <alignment horizontal="left" wrapText="1"/>
    </xf>
    <xf numFmtId="49" fontId="6" fillId="0" borderId="1" xfId="0" applyNumberFormat="1" applyFont="1" applyFill="1" applyBorder="1" applyAlignment="1">
      <alignment wrapText="1"/>
    </xf>
    <xf numFmtId="0" fontId="3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0" xfId="0" applyFont="1" applyFill="1"/>
    <xf numFmtId="49" fontId="4" fillId="4" borderId="1" xfId="0" applyNumberFormat="1" applyFont="1" applyFill="1" applyBorder="1" applyAlignment="1">
      <alignment wrapText="1"/>
    </xf>
    <xf numFmtId="0" fontId="3" fillId="4" borderId="1" xfId="1" applyFont="1" applyFill="1" applyBorder="1" applyAlignment="1">
      <alignment wrapText="1"/>
    </xf>
    <xf numFmtId="0" fontId="3" fillId="4" borderId="0" xfId="0" applyFont="1" applyFill="1"/>
    <xf numFmtId="3" fontId="15" fillId="0" borderId="1" xfId="0" applyNumberFormat="1" applyFont="1" applyFill="1" applyBorder="1"/>
    <xf numFmtId="49" fontId="3" fillId="4" borderId="1" xfId="0" applyNumberFormat="1" applyFont="1" applyFill="1" applyBorder="1" applyAlignment="1">
      <alignment wrapText="1"/>
    </xf>
    <xf numFmtId="0" fontId="5" fillId="0" borderId="0" xfId="0" applyFont="1" applyFill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0" xfId="0" applyNumberFormat="1" applyFont="1" applyFill="1"/>
    <xf numFmtId="0" fontId="8" fillId="0" borderId="0" xfId="0" applyFont="1" applyFill="1"/>
    <xf numFmtId="165" fontId="8" fillId="0" borderId="0" xfId="0" applyNumberFormat="1" applyFont="1" applyFill="1"/>
    <xf numFmtId="49" fontId="8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165" fontId="16" fillId="0" borderId="1" xfId="0" applyNumberFormat="1" applyFont="1" applyFill="1" applyBorder="1"/>
    <xf numFmtId="3" fontId="16" fillId="0" borderId="1" xfId="0" applyNumberFormat="1" applyFont="1" applyFill="1" applyBorder="1"/>
    <xf numFmtId="3" fontId="8" fillId="4" borderId="1" xfId="0" applyNumberFormat="1" applyFont="1" applyFill="1" applyBorder="1"/>
    <xf numFmtId="49" fontId="3" fillId="2" borderId="1" xfId="0" applyNumberFormat="1" applyFont="1" applyFill="1" applyBorder="1" applyAlignment="1">
      <alignment wrapText="1"/>
    </xf>
    <xf numFmtId="3" fontId="8" fillId="0" borderId="0" xfId="0" applyNumberFormat="1" applyFont="1" applyFill="1"/>
    <xf numFmtId="3" fontId="5" fillId="6" borderId="1" xfId="0" applyNumberFormat="1" applyFont="1" applyFill="1" applyBorder="1"/>
    <xf numFmtId="3" fontId="3" fillId="5" borderId="0" xfId="0" applyNumberFormat="1" applyFont="1" applyFill="1"/>
    <xf numFmtId="3" fontId="3" fillId="4" borderId="0" xfId="0" applyNumberFormat="1" applyFont="1" applyFill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/>
    <xf numFmtId="164" fontId="8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6" applyFont="1" applyAlignment="1">
      <alignment vertical="center"/>
    </xf>
    <xf numFmtId="0" fontId="20" fillId="0" borderId="0" xfId="6" applyFont="1" applyFill="1" applyAlignment="1" applyProtection="1">
      <alignment vertical="center"/>
      <protection locked="0"/>
    </xf>
    <xf numFmtId="0" fontId="21" fillId="0" borderId="0" xfId="6" applyFont="1" applyAlignment="1" applyProtection="1">
      <alignment vertical="center"/>
      <protection locked="0"/>
    </xf>
    <xf numFmtId="4" fontId="22" fillId="0" borderId="0" xfId="6" applyNumberFormat="1" applyFont="1" applyBorder="1" applyAlignment="1" applyProtection="1">
      <alignment vertical="center"/>
      <protection locked="0"/>
    </xf>
    <xf numFmtId="0" fontId="21" fillId="0" borderId="0" xfId="6" applyFont="1" applyAlignment="1">
      <alignment vertical="center"/>
    </xf>
    <xf numFmtId="0" fontId="23" fillId="0" borderId="5" xfId="28" applyFont="1" applyFill="1" applyBorder="1" applyAlignment="1" applyProtection="1">
      <alignment horizontal="left" vertical="center"/>
      <protection locked="0"/>
    </xf>
    <xf numFmtId="0" fontId="24" fillId="0" borderId="6" xfId="28" applyFont="1" applyFill="1" applyBorder="1" applyAlignment="1" applyProtection="1">
      <alignment horizontal="right" vertical="center"/>
      <protection locked="0"/>
    </xf>
    <xf numFmtId="14" fontId="25" fillId="0" borderId="7" xfId="28" applyNumberFormat="1" applyFont="1" applyFill="1" applyBorder="1" applyAlignment="1" applyProtection="1">
      <alignment horizontal="left" vertical="center"/>
      <protection locked="0"/>
    </xf>
    <xf numFmtId="0" fontId="21" fillId="0" borderId="10" xfId="6" applyFont="1" applyBorder="1" applyAlignment="1">
      <alignment horizontal="center" vertical="center"/>
    </xf>
    <xf numFmtId="0" fontId="26" fillId="0" borderId="5" xfId="6" applyFont="1" applyBorder="1" applyAlignment="1">
      <alignment horizontal="left" vertical="center"/>
    </xf>
    <xf numFmtId="0" fontId="23" fillId="0" borderId="6" xfId="6" applyFont="1" applyBorder="1" applyAlignment="1">
      <alignment vertical="center"/>
    </xf>
    <xf numFmtId="0" fontId="26" fillId="0" borderId="7" xfId="28" applyFont="1" applyFill="1" applyBorder="1" applyAlignment="1" applyProtection="1">
      <alignment horizontal="left" vertical="center"/>
      <protection locked="0"/>
    </xf>
    <xf numFmtId="0" fontId="21" fillId="0" borderId="15" xfId="6" applyFont="1" applyBorder="1" applyAlignment="1">
      <alignment horizontal="center" vertical="center"/>
    </xf>
    <xf numFmtId="0" fontId="21" fillId="0" borderId="0" xfId="6" applyFont="1" applyBorder="1" applyAlignment="1">
      <alignment horizontal="center" vertical="center"/>
    </xf>
    <xf numFmtId="0" fontId="21" fillId="0" borderId="16" xfId="6" applyFont="1" applyBorder="1" applyAlignment="1">
      <alignment horizontal="center" vertical="center"/>
    </xf>
    <xf numFmtId="0" fontId="27" fillId="20" borderId="17" xfId="28" applyFont="1" applyFill="1" applyBorder="1" applyAlignment="1">
      <alignment horizontal="left" vertical="center"/>
    </xf>
    <xf numFmtId="0" fontId="27" fillId="20" borderId="18" xfId="28" applyFont="1" applyFill="1" applyBorder="1" applyAlignment="1">
      <alignment horizontal="left" vertical="center"/>
    </xf>
    <xf numFmtId="0" fontId="27" fillId="20" borderId="19" xfId="28" applyFont="1" applyFill="1" applyBorder="1" applyAlignment="1">
      <alignment vertical="center"/>
    </xf>
    <xf numFmtId="3" fontId="28" fillId="20" borderId="18" xfId="28" applyNumberFormat="1" applyFont="1" applyFill="1" applyBorder="1" applyAlignment="1" applyProtection="1">
      <alignment vertical="center"/>
    </xf>
    <xf numFmtId="3" fontId="28" fillId="20" borderId="20" xfId="28" applyNumberFormat="1" applyFont="1" applyFill="1" applyBorder="1" applyAlignment="1" applyProtection="1">
      <alignment vertical="center"/>
    </xf>
    <xf numFmtId="167" fontId="28" fillId="20" borderId="21" xfId="28" applyNumberFormat="1" applyFont="1" applyFill="1" applyBorder="1" applyAlignment="1" applyProtection="1">
      <alignment vertical="center"/>
    </xf>
    <xf numFmtId="167" fontId="28" fillId="20" borderId="22" xfId="28" applyNumberFormat="1" applyFont="1" applyFill="1" applyBorder="1" applyAlignment="1" applyProtection="1">
      <alignment vertical="center"/>
    </xf>
    <xf numFmtId="0" fontId="7" fillId="21" borderId="23" xfId="6" applyFont="1" applyFill="1" applyBorder="1" applyAlignment="1">
      <alignment horizontal="left" vertical="center"/>
    </xf>
    <xf numFmtId="0" fontId="7" fillId="21" borderId="6" xfId="6" applyFont="1" applyFill="1" applyBorder="1" applyAlignment="1">
      <alignment horizontal="left" vertical="center"/>
    </xf>
    <xf numFmtId="0" fontId="27" fillId="21" borderId="7" xfId="28" applyFont="1" applyFill="1" applyBorder="1" applyAlignment="1">
      <alignment vertical="center"/>
    </xf>
    <xf numFmtId="3" fontId="28" fillId="21" borderId="6" xfId="28" applyNumberFormat="1" applyFont="1" applyFill="1" applyBorder="1" applyAlignment="1" applyProtection="1">
      <alignment vertical="center"/>
    </xf>
    <xf numFmtId="3" fontId="28" fillId="21" borderId="24" xfId="28" applyNumberFormat="1" applyFont="1" applyFill="1" applyBorder="1" applyAlignment="1" applyProtection="1">
      <alignment vertical="center"/>
    </xf>
    <xf numFmtId="167" fontId="28" fillId="21" borderId="14" xfId="28" applyNumberFormat="1" applyFont="1" applyFill="1" applyBorder="1" applyAlignment="1" applyProtection="1">
      <alignment vertical="center"/>
    </xf>
    <xf numFmtId="167" fontId="28" fillId="21" borderId="25" xfId="28" applyNumberFormat="1" applyFont="1" applyFill="1" applyBorder="1" applyAlignment="1" applyProtection="1">
      <alignment vertical="center"/>
    </xf>
    <xf numFmtId="0" fontId="23" fillId="0" borderId="15" xfId="28" applyFont="1" applyFill="1" applyBorder="1" applyAlignment="1">
      <alignment horizontal="left" vertical="center"/>
    </xf>
    <xf numFmtId="0" fontId="23" fillId="0" borderId="0" xfId="28" applyFont="1" applyFill="1" applyBorder="1" applyAlignment="1">
      <alignment horizontal="left" vertical="center"/>
    </xf>
    <xf numFmtId="0" fontId="4" fillId="0" borderId="16" xfId="28" applyFont="1" applyFill="1" applyBorder="1" applyAlignment="1">
      <alignment vertical="center"/>
    </xf>
    <xf numFmtId="3" fontId="29" fillId="0" borderId="0" xfId="28" applyNumberFormat="1" applyFont="1" applyFill="1" applyBorder="1" applyAlignment="1" applyProtection="1">
      <alignment vertical="center"/>
      <protection locked="0"/>
    </xf>
    <xf numFmtId="167" fontId="29" fillId="0" borderId="26" xfId="28" applyNumberFormat="1" applyFont="1" applyFill="1" applyBorder="1" applyAlignment="1" applyProtection="1">
      <alignment vertical="center"/>
      <protection locked="0"/>
    </xf>
    <xf numFmtId="167" fontId="29" fillId="0" borderId="16" xfId="28" applyNumberFormat="1" applyFont="1" applyFill="1" applyBorder="1" applyAlignment="1" applyProtection="1">
      <alignment vertical="center"/>
      <protection locked="0"/>
    </xf>
    <xf numFmtId="0" fontId="4" fillId="0" borderId="16" xfId="6" applyFont="1" applyFill="1" applyBorder="1" applyAlignment="1">
      <alignment vertical="center"/>
    </xf>
    <xf numFmtId="0" fontId="7" fillId="21" borderId="27" xfId="28" applyFont="1" applyFill="1" applyBorder="1" applyAlignment="1">
      <alignment horizontal="left" vertical="center"/>
    </xf>
    <xf numFmtId="0" fontId="7" fillId="21" borderId="28" xfId="28" applyFont="1" applyFill="1" applyBorder="1" applyAlignment="1">
      <alignment horizontal="left" vertical="center"/>
    </xf>
    <xf numFmtId="0" fontId="27" fillId="21" borderId="29" xfId="28" applyFont="1" applyFill="1" applyBorder="1" applyAlignment="1">
      <alignment vertical="center"/>
    </xf>
    <xf numFmtId="3" fontId="28" fillId="21" borderId="28" xfId="28" applyNumberFormat="1" applyFont="1" applyFill="1" applyBorder="1" applyAlignment="1" applyProtection="1">
      <alignment vertical="center"/>
    </xf>
    <xf numFmtId="167" fontId="28" fillId="21" borderId="30" xfId="28" applyNumberFormat="1" applyFont="1" applyFill="1" applyBorder="1" applyAlignment="1" applyProtection="1">
      <alignment vertical="center"/>
    </xf>
    <xf numFmtId="167" fontId="28" fillId="21" borderId="29" xfId="28" applyNumberFormat="1" applyFont="1" applyFill="1" applyBorder="1" applyAlignment="1" applyProtection="1">
      <alignment vertical="center"/>
    </xf>
    <xf numFmtId="3" fontId="28" fillId="21" borderId="31" xfId="28" applyNumberFormat="1" applyFont="1" applyFill="1" applyBorder="1" applyAlignment="1" applyProtection="1">
      <alignment vertical="center"/>
    </xf>
    <xf numFmtId="167" fontId="28" fillId="21" borderId="32" xfId="28" applyNumberFormat="1" applyFont="1" applyFill="1" applyBorder="1" applyAlignment="1" applyProtection="1">
      <alignment vertical="center"/>
    </xf>
    <xf numFmtId="0" fontId="21" fillId="0" borderId="0" xfId="6" applyFont="1" applyAlignment="1">
      <alignment horizontal="center" vertical="center"/>
    </xf>
    <xf numFmtId="167" fontId="29" fillId="0" borderId="26" xfId="28" applyNumberFormat="1" applyFont="1" applyFill="1" applyBorder="1" applyAlignment="1" applyProtection="1">
      <alignment horizontal="right" vertical="center"/>
      <protection locked="0"/>
    </xf>
    <xf numFmtId="167" fontId="29" fillId="0" borderId="16" xfId="28" applyNumberFormat="1" applyFont="1" applyFill="1" applyBorder="1" applyAlignment="1" applyProtection="1">
      <alignment horizontal="right" vertical="center"/>
      <protection locked="0"/>
    </xf>
    <xf numFmtId="3" fontId="28" fillId="20" borderId="33" xfId="28" applyNumberFormat="1" applyFont="1" applyFill="1" applyBorder="1" applyAlignment="1" applyProtection="1">
      <alignment vertical="center"/>
    </xf>
    <xf numFmtId="3" fontId="28" fillId="20" borderId="34" xfId="28" applyNumberFormat="1" applyFont="1" applyFill="1" applyBorder="1" applyAlignment="1" applyProtection="1">
      <alignment vertical="center"/>
    </xf>
    <xf numFmtId="167" fontId="28" fillId="20" borderId="35" xfId="28" applyNumberFormat="1" applyFont="1" applyFill="1" applyBorder="1" applyAlignment="1" applyProtection="1">
      <alignment vertical="center"/>
    </xf>
    <xf numFmtId="167" fontId="28" fillId="20" borderId="36" xfId="28" applyNumberFormat="1" applyFont="1" applyFill="1" applyBorder="1" applyAlignment="1" applyProtection="1">
      <alignment vertical="center"/>
    </xf>
    <xf numFmtId="0" fontId="7" fillId="21" borderId="37" xfId="28" applyFont="1" applyFill="1" applyBorder="1" applyAlignment="1">
      <alignment horizontal="left" vertical="center"/>
    </xf>
    <xf numFmtId="0" fontId="7" fillId="21" borderId="4" xfId="28" applyFont="1" applyFill="1" applyBorder="1" applyAlignment="1">
      <alignment horizontal="left" vertical="center"/>
    </xf>
    <xf numFmtId="0" fontId="27" fillId="21" borderId="38" xfId="28" applyFont="1" applyFill="1" applyBorder="1" applyAlignment="1">
      <alignment vertical="center"/>
    </xf>
    <xf numFmtId="3" fontId="28" fillId="21" borderId="4" xfId="28" applyNumberFormat="1" applyFont="1" applyFill="1" applyBorder="1" applyAlignment="1" applyProtection="1">
      <alignment vertical="center"/>
    </xf>
    <xf numFmtId="167" fontId="28" fillId="21" borderId="39" xfId="28" applyNumberFormat="1" applyFont="1" applyFill="1" applyBorder="1" applyAlignment="1" applyProtection="1">
      <alignment vertical="center"/>
    </xf>
    <xf numFmtId="167" fontId="28" fillId="21" borderId="38" xfId="28" applyNumberFormat="1" applyFont="1" applyFill="1" applyBorder="1" applyAlignment="1" applyProtection="1">
      <alignment vertical="center"/>
    </xf>
    <xf numFmtId="0" fontId="23" fillId="22" borderId="15" xfId="28" applyFont="1" applyFill="1" applyBorder="1" applyAlignment="1">
      <alignment horizontal="left" vertical="center"/>
    </xf>
    <xf numFmtId="0" fontId="23" fillId="22" borderId="0" xfId="28" applyFont="1" applyFill="1" applyBorder="1" applyAlignment="1">
      <alignment horizontal="left" vertical="center"/>
    </xf>
    <xf numFmtId="0" fontId="4" fillId="22" borderId="16" xfId="28" applyFont="1" applyFill="1" applyBorder="1" applyAlignment="1">
      <alignment vertical="center"/>
    </xf>
    <xf numFmtId="3" fontId="29" fillId="22" borderId="0" xfId="28" applyNumberFormat="1" applyFont="1" applyFill="1" applyBorder="1" applyAlignment="1" applyProtection="1">
      <alignment vertical="center"/>
      <protection locked="0"/>
    </xf>
    <xf numFmtId="167" fontId="29" fillId="22" borderId="26" xfId="28" applyNumberFormat="1" applyFont="1" applyFill="1" applyBorder="1" applyAlignment="1" applyProtection="1">
      <alignment vertical="center"/>
      <protection locked="0"/>
    </xf>
    <xf numFmtId="167" fontId="29" fillId="22" borderId="16" xfId="28" applyNumberFormat="1" applyFont="1" applyFill="1" applyBorder="1" applyAlignment="1" applyProtection="1">
      <alignment vertical="center"/>
      <protection locked="0"/>
    </xf>
    <xf numFmtId="0" fontId="23" fillId="0" borderId="17" xfId="28" applyFont="1" applyFill="1" applyBorder="1" applyAlignment="1">
      <alignment horizontal="left" vertical="center"/>
    </xf>
    <xf numFmtId="0" fontId="23" fillId="0" borderId="18" xfId="28" applyFont="1" applyFill="1" applyBorder="1" applyAlignment="1">
      <alignment horizontal="left" vertical="center"/>
    </xf>
    <xf numFmtId="0" fontId="4" fillId="0" borderId="19" xfId="28" applyFont="1" applyFill="1" applyBorder="1" applyAlignment="1">
      <alignment vertical="center"/>
    </xf>
    <xf numFmtId="0" fontId="27" fillId="23" borderId="17" xfId="6" applyFont="1" applyFill="1" applyBorder="1" applyAlignment="1">
      <alignment horizontal="left" vertical="center"/>
    </xf>
    <xf numFmtId="0" fontId="27" fillId="23" borderId="18" xfId="6" applyFont="1" applyFill="1" applyBorder="1" applyAlignment="1">
      <alignment horizontal="left" vertical="center"/>
    </xf>
    <xf numFmtId="0" fontId="23" fillId="23" borderId="19" xfId="6" applyFont="1" applyFill="1" applyBorder="1" applyAlignment="1">
      <alignment vertical="center"/>
    </xf>
    <xf numFmtId="3" fontId="27" fillId="23" borderId="33" xfId="6" applyNumberFormat="1" applyFont="1" applyFill="1" applyBorder="1" applyAlignment="1">
      <alignment vertical="center"/>
    </xf>
    <xf numFmtId="167" fontId="27" fillId="23" borderId="35" xfId="6" applyNumberFormat="1" applyFont="1" applyFill="1" applyBorder="1" applyAlignment="1">
      <alignment vertical="center"/>
    </xf>
    <xf numFmtId="167" fontId="27" fillId="23" borderId="40" xfId="6" applyNumberFormat="1" applyFont="1" applyFill="1" applyBorder="1" applyAlignment="1">
      <alignment vertical="center"/>
    </xf>
    <xf numFmtId="0" fontId="27" fillId="20" borderId="41" xfId="6" applyFont="1" applyFill="1" applyBorder="1" applyAlignment="1">
      <alignment horizontal="left" vertical="center"/>
    </xf>
    <xf numFmtId="0" fontId="27" fillId="20" borderId="33" xfId="6" applyFont="1" applyFill="1" applyBorder="1" applyAlignment="1">
      <alignment horizontal="left" vertical="center"/>
    </xf>
    <xf numFmtId="0" fontId="23" fillId="20" borderId="40" xfId="6" applyFont="1" applyFill="1" applyBorder="1" applyAlignment="1">
      <alignment vertical="center"/>
    </xf>
    <xf numFmtId="3" fontId="27" fillId="20" borderId="33" xfId="6" applyNumberFormat="1" applyFont="1" applyFill="1" applyBorder="1" applyAlignment="1">
      <alignment vertical="center"/>
    </xf>
    <xf numFmtId="3" fontId="27" fillId="20" borderId="34" xfId="6" applyNumberFormat="1" applyFont="1" applyFill="1" applyBorder="1" applyAlignment="1">
      <alignment vertical="center"/>
    </xf>
    <xf numFmtId="167" fontId="27" fillId="20" borderId="35" xfId="6" applyNumberFormat="1" applyFont="1" applyFill="1" applyBorder="1" applyAlignment="1">
      <alignment vertical="center"/>
    </xf>
    <xf numFmtId="167" fontId="27" fillId="20" borderId="36" xfId="6" applyNumberFormat="1" applyFont="1" applyFill="1" applyBorder="1" applyAlignment="1">
      <alignment vertical="center"/>
    </xf>
    <xf numFmtId="0" fontId="21" fillId="22" borderId="0" xfId="28" applyFont="1" applyFill="1" applyBorder="1" applyAlignment="1">
      <alignment horizontal="left" vertical="center"/>
    </xf>
    <xf numFmtId="49" fontId="23" fillId="0" borderId="15" xfId="28" applyNumberFormat="1" applyFont="1" applyFill="1" applyBorder="1" applyAlignment="1">
      <alignment horizontal="left" vertical="center"/>
    </xf>
    <xf numFmtId="0" fontId="23" fillId="0" borderId="0" xfId="6" applyFont="1" applyFill="1" applyBorder="1" applyAlignment="1">
      <alignment horizontal="left" vertical="center"/>
    </xf>
    <xf numFmtId="0" fontId="4" fillId="0" borderId="16" xfId="6" applyFont="1" applyFill="1" applyBorder="1" applyAlignment="1">
      <alignment horizontal="left" vertical="center"/>
    </xf>
    <xf numFmtId="0" fontId="23" fillId="0" borderId="15" xfId="6" applyFont="1" applyFill="1" applyBorder="1" applyAlignment="1">
      <alignment horizontal="left" vertical="center"/>
    </xf>
    <xf numFmtId="0" fontId="23" fillId="24" borderId="41" xfId="6" applyFont="1" applyFill="1" applyBorder="1" applyAlignment="1">
      <alignment horizontal="left" vertical="center"/>
    </xf>
    <xf numFmtId="0" fontId="27" fillId="23" borderId="33" xfId="28" applyFont="1" applyFill="1" applyBorder="1" applyAlignment="1">
      <alignment horizontal="left" vertical="center"/>
    </xf>
    <xf numFmtId="0" fontId="23" fillId="23" borderId="40" xfId="28" applyFont="1" applyFill="1" applyBorder="1" applyAlignment="1">
      <alignment vertical="center"/>
    </xf>
    <xf numFmtId="3" fontId="27" fillId="23" borderId="34" xfId="6" applyNumberFormat="1" applyFont="1" applyFill="1" applyBorder="1" applyAlignment="1">
      <alignment vertical="center"/>
    </xf>
    <xf numFmtId="167" fontId="27" fillId="23" borderId="36" xfId="6" applyNumberFormat="1" applyFont="1" applyFill="1" applyBorder="1" applyAlignment="1">
      <alignment vertical="center"/>
    </xf>
    <xf numFmtId="0" fontId="23" fillId="20" borderId="41" xfId="6" applyFont="1" applyFill="1" applyBorder="1" applyAlignment="1">
      <alignment horizontal="left" vertical="center"/>
    </xf>
    <xf numFmtId="49" fontId="23" fillId="0" borderId="42" xfId="28" applyNumberFormat="1" applyFont="1" applyFill="1" applyBorder="1" applyAlignment="1">
      <alignment horizontal="left" vertical="center"/>
    </xf>
    <xf numFmtId="49" fontId="23" fillId="0" borderId="43" xfId="28" applyNumberFormat="1" applyFont="1" applyFill="1" applyBorder="1" applyAlignment="1">
      <alignment horizontal="left" vertical="center"/>
    </xf>
    <xf numFmtId="0" fontId="4" fillId="0" borderId="44" xfId="28" applyFont="1" applyFill="1" applyBorder="1" applyAlignment="1">
      <alignment horizontal="left" vertical="center"/>
    </xf>
    <xf numFmtId="3" fontId="29" fillId="0" borderId="45" xfId="28" applyNumberFormat="1" applyFont="1" applyFill="1" applyBorder="1" applyAlignment="1" applyProtection="1">
      <alignment vertical="center"/>
      <protection locked="0"/>
    </xf>
    <xf numFmtId="3" fontId="29" fillId="0" borderId="46" xfId="28" applyNumberFormat="1" applyFont="1" applyFill="1" applyBorder="1" applyAlignment="1" applyProtection="1">
      <alignment vertical="center"/>
      <protection locked="0"/>
    </xf>
    <xf numFmtId="167" fontId="29" fillId="0" borderId="47" xfId="28" applyNumberFormat="1" applyFont="1" applyFill="1" applyBorder="1" applyAlignment="1" applyProtection="1">
      <alignment vertical="center"/>
      <protection locked="0"/>
    </xf>
    <xf numFmtId="167" fontId="29" fillId="0" borderId="48" xfId="28" applyNumberFormat="1" applyFont="1" applyFill="1" applyBorder="1" applyAlignment="1" applyProtection="1">
      <alignment vertical="center"/>
      <protection locked="0"/>
    </xf>
    <xf numFmtId="49" fontId="23" fillId="22" borderId="15" xfId="28" applyNumberFormat="1" applyFont="1" applyFill="1" applyBorder="1" applyAlignment="1">
      <alignment horizontal="left" vertical="center"/>
    </xf>
    <xf numFmtId="49" fontId="23" fillId="22" borderId="0" xfId="28" applyNumberFormat="1" applyFont="1" applyFill="1" applyBorder="1" applyAlignment="1">
      <alignment horizontal="left" vertical="center"/>
    </xf>
    <xf numFmtId="0" fontId="4" fillId="22" borderId="16" xfId="28" applyFont="1" applyFill="1" applyBorder="1" applyAlignment="1">
      <alignment horizontal="left" vertical="center"/>
    </xf>
    <xf numFmtId="167" fontId="29" fillId="22" borderId="26" xfId="28" applyNumberFormat="1" applyFont="1" applyFill="1" applyBorder="1" applyAlignment="1" applyProtection="1">
      <alignment horizontal="right" vertical="center"/>
      <protection locked="0"/>
    </xf>
    <xf numFmtId="49" fontId="23" fillId="0" borderId="49" xfId="28" applyNumberFormat="1" applyFont="1" applyFill="1" applyBorder="1" applyAlignment="1">
      <alignment horizontal="left" vertical="center"/>
    </xf>
    <xf numFmtId="49" fontId="23" fillId="0" borderId="45" xfId="28" applyNumberFormat="1" applyFont="1" applyFill="1" applyBorder="1" applyAlignment="1">
      <alignment horizontal="left" vertical="center"/>
    </xf>
    <xf numFmtId="49" fontId="23" fillId="22" borderId="18" xfId="28" applyNumberFormat="1" applyFont="1" applyFill="1" applyBorder="1" applyAlignment="1">
      <alignment horizontal="left" vertical="center"/>
    </xf>
    <xf numFmtId="0" fontId="27" fillId="20" borderId="33" xfId="28" applyFont="1" applyFill="1" applyBorder="1" applyAlignment="1">
      <alignment horizontal="left" vertical="center"/>
    </xf>
    <xf numFmtId="0" fontId="23" fillId="20" borderId="40" xfId="28" applyFont="1" applyFill="1" applyBorder="1" applyAlignment="1">
      <alignment vertical="center"/>
    </xf>
    <xf numFmtId="3" fontId="27" fillId="20" borderId="33" xfId="28" applyNumberFormat="1" applyFont="1" applyFill="1" applyBorder="1" applyAlignment="1">
      <alignment horizontal="right" vertical="center"/>
    </xf>
    <xf numFmtId="167" fontId="27" fillId="20" borderId="35" xfId="28" applyNumberFormat="1" applyFont="1" applyFill="1" applyBorder="1" applyAlignment="1">
      <alignment horizontal="right" vertical="center"/>
    </xf>
    <xf numFmtId="3" fontId="27" fillId="20" borderId="11" xfId="28" applyNumberFormat="1" applyFont="1" applyFill="1" applyBorder="1" applyAlignment="1">
      <alignment horizontal="right" vertical="center"/>
    </xf>
    <xf numFmtId="167" fontId="27" fillId="20" borderId="12" xfId="28" applyNumberFormat="1" applyFont="1" applyFill="1" applyBorder="1" applyAlignment="1">
      <alignment horizontal="right" vertical="center"/>
    </xf>
    <xf numFmtId="0" fontId="23" fillId="0" borderId="41" xfId="6" applyFont="1" applyFill="1" applyBorder="1" applyAlignment="1">
      <alignment horizontal="left" vertical="center"/>
    </xf>
    <xf numFmtId="0" fontId="23" fillId="0" borderId="33" xfId="6" applyFont="1" applyFill="1" applyBorder="1" applyAlignment="1">
      <alignment horizontal="left" vertical="center"/>
    </xf>
    <xf numFmtId="0" fontId="23" fillId="0" borderId="40" xfId="6" applyFont="1" applyFill="1" applyBorder="1" applyAlignment="1">
      <alignment vertical="center"/>
    </xf>
    <xf numFmtId="3" fontId="23" fillId="0" borderId="33" xfId="6" applyNumberFormat="1" applyFont="1" applyFill="1" applyBorder="1" applyAlignment="1">
      <alignment vertical="center"/>
    </xf>
    <xf numFmtId="3" fontId="29" fillId="0" borderId="34" xfId="6" applyNumberFormat="1" applyFont="1" applyFill="1" applyBorder="1" applyAlignment="1">
      <alignment vertical="center"/>
    </xf>
    <xf numFmtId="167" fontId="29" fillId="0" borderId="35" xfId="6" applyNumberFormat="1" applyFont="1" applyFill="1" applyBorder="1" applyAlignment="1">
      <alignment vertical="center"/>
    </xf>
    <xf numFmtId="3" fontId="27" fillId="0" borderId="28" xfId="28" applyNumberFormat="1" applyFont="1" applyFill="1" applyBorder="1" applyAlignment="1">
      <alignment horizontal="right" vertical="center"/>
    </xf>
    <xf numFmtId="167" fontId="27" fillId="0" borderId="29" xfId="28" applyNumberFormat="1" applyFont="1" applyFill="1" applyBorder="1" applyAlignment="1">
      <alignment horizontal="right" vertical="center"/>
    </xf>
    <xf numFmtId="0" fontId="21" fillId="0" borderId="0" xfId="6" applyFont="1" applyFill="1" applyAlignment="1">
      <alignment vertical="center"/>
    </xf>
    <xf numFmtId="0" fontId="23" fillId="25" borderId="10" xfId="6" applyFont="1" applyFill="1" applyBorder="1" applyAlignment="1">
      <alignment horizontal="left" vertical="center"/>
    </xf>
    <xf numFmtId="3" fontId="28" fillId="25" borderId="0" xfId="28" applyNumberFormat="1" applyFont="1" applyFill="1" applyBorder="1" applyAlignment="1" applyProtection="1">
      <alignment vertical="center"/>
    </xf>
    <xf numFmtId="3" fontId="27" fillId="25" borderId="50" xfId="28" applyNumberFormat="1" applyFont="1" applyFill="1" applyBorder="1" applyAlignment="1" applyProtection="1">
      <alignment vertical="center"/>
    </xf>
    <xf numFmtId="167" fontId="27" fillId="25" borderId="51" xfId="28" applyNumberFormat="1" applyFont="1" applyFill="1" applyBorder="1" applyAlignment="1" applyProtection="1">
      <alignment vertical="center"/>
    </xf>
    <xf numFmtId="3" fontId="27" fillId="25" borderId="52" xfId="28" applyNumberFormat="1" applyFont="1" applyFill="1" applyBorder="1" applyAlignment="1" applyProtection="1">
      <alignment vertical="center"/>
    </xf>
    <xf numFmtId="167" fontId="27" fillId="25" borderId="53" xfId="28" applyNumberFormat="1" applyFont="1" applyFill="1" applyBorder="1" applyAlignment="1" applyProtection="1">
      <alignment vertical="center"/>
    </xf>
    <xf numFmtId="49" fontId="27" fillId="21" borderId="54" xfId="28" applyNumberFormat="1" applyFont="1" applyFill="1" applyBorder="1" applyAlignment="1">
      <alignment horizontal="left" vertical="center"/>
    </xf>
    <xf numFmtId="0" fontId="7" fillId="21" borderId="55" xfId="28" applyFont="1" applyFill="1" applyBorder="1" applyAlignment="1">
      <alignment horizontal="left" vertical="center"/>
    </xf>
    <xf numFmtId="0" fontId="7" fillId="21" borderId="56" xfId="28" applyFont="1" applyFill="1" applyBorder="1" applyAlignment="1">
      <alignment vertical="center"/>
    </xf>
    <xf numFmtId="3" fontId="28" fillId="21" borderId="0" xfId="6" applyNumberFormat="1" applyFont="1" applyFill="1" applyBorder="1" applyAlignment="1" applyProtection="1">
      <alignment vertical="center"/>
    </xf>
    <xf numFmtId="167" fontId="28" fillId="21" borderId="9" xfId="6" applyNumberFormat="1" applyFont="1" applyFill="1" applyBorder="1" applyAlignment="1" applyProtection="1">
      <alignment vertical="center"/>
    </xf>
    <xf numFmtId="3" fontId="28" fillId="21" borderId="55" xfId="6" applyNumberFormat="1" applyFont="1" applyFill="1" applyBorder="1" applyAlignment="1" applyProtection="1">
      <alignment vertical="center"/>
    </xf>
    <xf numFmtId="167" fontId="28" fillId="21" borderId="56" xfId="6" applyNumberFormat="1" applyFont="1" applyFill="1" applyBorder="1" applyAlignment="1" applyProtection="1">
      <alignment vertical="center"/>
    </xf>
    <xf numFmtId="0" fontId="20" fillId="0" borderId="0" xfId="6" applyFont="1" applyAlignment="1">
      <alignment vertical="center"/>
    </xf>
    <xf numFmtId="49" fontId="27" fillId="21" borderId="57" xfId="28" applyNumberFormat="1" applyFont="1" applyFill="1" applyBorder="1" applyAlignment="1">
      <alignment horizontal="left" vertical="center"/>
    </xf>
    <xf numFmtId="0" fontId="7" fillId="21" borderId="0" xfId="28" applyFont="1" applyFill="1" applyBorder="1" applyAlignment="1">
      <alignment horizontal="left" vertical="center"/>
    </xf>
    <xf numFmtId="0" fontId="7" fillId="21" borderId="16" xfId="6" applyFont="1" applyFill="1" applyBorder="1" applyAlignment="1">
      <alignment vertical="center"/>
    </xf>
    <xf numFmtId="167" fontId="28" fillId="21" borderId="26" xfId="6" applyNumberFormat="1" applyFont="1" applyFill="1" applyBorder="1" applyAlignment="1" applyProtection="1">
      <alignment vertical="center"/>
    </xf>
    <xf numFmtId="167" fontId="28" fillId="21" borderId="16" xfId="6" applyNumberFormat="1" applyFont="1" applyFill="1" applyBorder="1" applyAlignment="1" applyProtection="1">
      <alignment vertical="center"/>
    </xf>
    <xf numFmtId="3" fontId="28" fillId="21" borderId="58" xfId="6" applyNumberFormat="1" applyFont="1" applyFill="1" applyBorder="1" applyAlignment="1" applyProtection="1">
      <alignment vertical="center"/>
    </xf>
    <xf numFmtId="0" fontId="23" fillId="25" borderId="57" xfId="6" applyFont="1" applyFill="1" applyBorder="1" applyAlignment="1">
      <alignment horizontal="left" vertical="center"/>
    </xf>
    <xf numFmtId="3" fontId="28" fillId="25" borderId="58" xfId="28" applyNumberFormat="1" applyFont="1" applyFill="1" applyBorder="1" applyAlignment="1" applyProtection="1">
      <alignment vertical="center"/>
    </xf>
    <xf numFmtId="167" fontId="27" fillId="25" borderId="26" xfId="28" applyNumberFormat="1" applyFont="1" applyFill="1" applyBorder="1" applyAlignment="1" applyProtection="1">
      <alignment vertical="center"/>
    </xf>
    <xf numFmtId="3" fontId="27" fillId="25" borderId="59" xfId="28" applyNumberFormat="1" applyFont="1" applyFill="1" applyBorder="1" applyAlignment="1" applyProtection="1">
      <alignment vertical="center"/>
    </xf>
    <xf numFmtId="167" fontId="27" fillId="25" borderId="16" xfId="28" applyNumberFormat="1" applyFont="1" applyFill="1" applyBorder="1" applyAlignment="1" applyProtection="1">
      <alignment vertical="center"/>
    </xf>
    <xf numFmtId="0" fontId="7" fillId="21" borderId="16" xfId="28" applyFont="1" applyFill="1" applyBorder="1" applyAlignment="1">
      <alignment vertical="center"/>
    </xf>
    <xf numFmtId="3" fontId="28" fillId="21" borderId="16" xfId="6" applyNumberFormat="1" applyFont="1" applyFill="1" applyBorder="1" applyAlignment="1" applyProtection="1">
      <alignment vertical="center"/>
    </xf>
    <xf numFmtId="3" fontId="28" fillId="21" borderId="59" xfId="6" applyNumberFormat="1" applyFont="1" applyFill="1" applyBorder="1" applyAlignment="1" applyProtection="1">
      <alignment vertical="center"/>
    </xf>
    <xf numFmtId="167" fontId="28" fillId="21" borderId="26" xfId="6" applyNumberFormat="1" applyFont="1" applyFill="1" applyBorder="1" applyAlignment="1" applyProtection="1">
      <alignment horizontal="right" vertical="center"/>
    </xf>
    <xf numFmtId="0" fontId="21" fillId="0" borderId="0" xfId="6" applyFont="1" applyBorder="1" applyAlignment="1">
      <alignment vertical="center"/>
    </xf>
    <xf numFmtId="49" fontId="27" fillId="21" borderId="60" xfId="28" applyNumberFormat="1" applyFont="1" applyFill="1" applyBorder="1" applyAlignment="1">
      <alignment horizontal="left" vertical="center"/>
    </xf>
    <xf numFmtId="0" fontId="7" fillId="21" borderId="18" xfId="28" applyFont="1" applyFill="1" applyBorder="1" applyAlignment="1">
      <alignment horizontal="left" vertical="center"/>
    </xf>
    <xf numFmtId="0" fontId="7" fillId="21" borderId="19" xfId="6" applyFont="1" applyFill="1" applyBorder="1" applyAlignment="1">
      <alignment vertical="center"/>
    </xf>
    <xf numFmtId="3" fontId="28" fillId="21" borderId="61" xfId="6" applyNumberFormat="1" applyFont="1" applyFill="1" applyBorder="1" applyAlignment="1" applyProtection="1">
      <alignment vertical="center"/>
    </xf>
    <xf numFmtId="3" fontId="28" fillId="21" borderId="19" xfId="6" applyNumberFormat="1" applyFont="1" applyFill="1" applyBorder="1" applyAlignment="1" applyProtection="1">
      <alignment vertical="center"/>
    </xf>
    <xf numFmtId="167" fontId="28" fillId="21" borderId="62" xfId="6" applyNumberFormat="1" applyFont="1" applyFill="1" applyBorder="1" applyAlignment="1" applyProtection="1">
      <alignment vertical="center"/>
    </xf>
    <xf numFmtId="3" fontId="28" fillId="21" borderId="63" xfId="6" applyNumberFormat="1" applyFont="1" applyFill="1" applyBorder="1" applyAlignment="1" applyProtection="1">
      <alignment vertical="center"/>
    </xf>
    <xf numFmtId="167" fontId="28" fillId="21" borderId="19" xfId="6" applyNumberFormat="1" applyFont="1" applyFill="1" applyBorder="1" applyAlignment="1" applyProtection="1">
      <alignment vertical="center"/>
    </xf>
    <xf numFmtId="0" fontId="23" fillId="0" borderId="0" xfId="6" applyFont="1" applyAlignment="1">
      <alignment vertical="center"/>
    </xf>
    <xf numFmtId="3" fontId="21" fillId="0" borderId="0" xfId="6" applyNumberFormat="1" applyFont="1" applyAlignment="1">
      <alignment vertical="center"/>
    </xf>
    <xf numFmtId="3" fontId="21" fillId="0" borderId="0" xfId="6" applyNumberFormat="1" applyFont="1" applyBorder="1" applyAlignment="1">
      <alignment vertical="center"/>
    </xf>
    <xf numFmtId="9" fontId="21" fillId="0" borderId="0" xfId="6" applyNumberFormat="1" applyFont="1" applyAlignment="1">
      <alignment vertical="center"/>
    </xf>
    <xf numFmtId="4" fontId="21" fillId="0" borderId="0" xfId="6" applyNumberFormat="1" applyFont="1" applyAlignment="1">
      <alignment vertical="center"/>
    </xf>
    <xf numFmtId="4" fontId="21" fillId="0" borderId="0" xfId="6" applyNumberFormat="1" applyFont="1" applyBorder="1" applyAlignment="1">
      <alignment vertical="center"/>
    </xf>
    <xf numFmtId="4" fontId="29" fillId="0" borderId="0" xfId="6" applyNumberFormat="1" applyFont="1" applyBorder="1" applyAlignment="1">
      <alignment vertical="center"/>
    </xf>
    <xf numFmtId="0" fontId="21" fillId="0" borderId="11" xfId="6" applyFont="1" applyBorder="1" applyAlignment="1">
      <alignment horizontal="center" vertical="center"/>
    </xf>
    <xf numFmtId="0" fontId="21" fillId="0" borderId="12" xfId="6" applyFont="1" applyBorder="1" applyAlignment="1">
      <alignment horizontal="center" vertical="center"/>
    </xf>
    <xf numFmtId="0" fontId="7" fillId="25" borderId="11" xfId="28" applyFont="1" applyFill="1" applyBorder="1" applyAlignment="1">
      <alignment vertical="center" wrapText="1"/>
    </xf>
    <xf numFmtId="0" fontId="4" fillId="25" borderId="12" xfId="6" applyFont="1" applyFill="1" applyBorder="1" applyAlignment="1">
      <alignment vertical="center" wrapText="1"/>
    </xf>
    <xf numFmtId="0" fontId="7" fillId="25" borderId="0" xfId="28" applyFont="1" applyFill="1" applyBorder="1" applyAlignment="1">
      <alignment vertical="center" wrapText="1"/>
    </xf>
    <xf numFmtId="0" fontId="4" fillId="25" borderId="16" xfId="6" applyFont="1" applyFill="1" applyBorder="1" applyAlignment="1">
      <alignment vertical="center" wrapText="1"/>
    </xf>
    <xf numFmtId="0" fontId="13" fillId="0" borderId="3" xfId="6" applyFont="1" applyBorder="1" applyAlignment="1">
      <alignment horizontal="center" vertical="center" wrapText="1"/>
    </xf>
    <xf numFmtId="0" fontId="13" fillId="0" borderId="4" xfId="6" applyFont="1" applyBorder="1" applyAlignment="1">
      <alignment horizontal="center" vertical="center" wrapText="1"/>
    </xf>
    <xf numFmtId="4" fontId="12" fillId="0" borderId="0" xfId="28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28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28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28" applyNumberFormat="1" applyFont="1" applyFill="1" applyBorder="1" applyAlignment="1" applyProtection="1">
      <alignment horizontal="center" vertical="center" wrapText="1"/>
      <protection locked="0"/>
    </xf>
    <xf numFmtId="0" fontId="20" fillId="0" borderId="9" xfId="6" applyFont="1" applyBorder="1" applyAlignment="1">
      <alignment horizontal="center" vertical="center"/>
    </xf>
    <xf numFmtId="0" fontId="20" fillId="0" borderId="14" xfId="6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3" fontId="27" fillId="25" borderId="16" xfId="28" applyNumberFormat="1" applyFont="1" applyFill="1" applyBorder="1" applyAlignment="1" applyProtection="1">
      <alignment vertical="center"/>
    </xf>
  </cellXfs>
  <cellStyles count="49">
    <cellStyle name="20% – rõhk1 2" xfId="29"/>
    <cellStyle name="20% – rõhk2 2" xfId="30"/>
    <cellStyle name="20% – rõhk3 2" xfId="31"/>
    <cellStyle name="20% – rõhk4 2" xfId="32"/>
    <cellStyle name="20% – rõhk5 2" xfId="33"/>
    <cellStyle name="20% – rõhk6 2" xfId="34"/>
    <cellStyle name="40% – rõhk1 2" xfId="35"/>
    <cellStyle name="40% – rõhk2 2" xfId="36"/>
    <cellStyle name="40% – rõhk3 2" xfId="37"/>
    <cellStyle name="40% – rõhk4 2" xfId="38"/>
    <cellStyle name="40% – rõhk5 2" xfId="39"/>
    <cellStyle name="40% – rõhk6 2" xfId="40"/>
    <cellStyle name="Comma 2" xfId="2"/>
    <cellStyle name="Comma 3" xfId="3"/>
    <cellStyle name="Märkus 2" xfId="41"/>
    <cellStyle name="Märkus 3" xfId="42"/>
    <cellStyle name="Normaallaad 2" xfId="4"/>
    <cellStyle name="Normaallaad 3" xfId="43"/>
    <cellStyle name="Normaallaad 4" xfId="44"/>
    <cellStyle name="Normaallaad_2005 Ikv lisad" xfId="5"/>
    <cellStyle name="Normaallaad_Leht1" xfId="1"/>
    <cellStyle name="Normal" xfId="0" builtinId="0"/>
    <cellStyle name="Normal 2" xfId="6"/>
    <cellStyle name="Normal 2 2" xfId="7"/>
    <cellStyle name="Normal 2 2 2" xfId="8"/>
    <cellStyle name="Normal 2 2 2 2" xfId="9"/>
    <cellStyle name="Normal 2 2 3" xfId="10"/>
    <cellStyle name="Normal 2 3" xfId="11"/>
    <cellStyle name="Normal 2 3 2" xfId="12"/>
    <cellStyle name="Normal 2 4" xfId="13"/>
    <cellStyle name="Normal 2 4 2" xfId="14"/>
    <cellStyle name="Normal 21" xfId="15"/>
    <cellStyle name="Normal 3" xfId="16"/>
    <cellStyle name="Normal 3 2" xfId="17"/>
    <cellStyle name="Normal 3 2 2" xfId="18"/>
    <cellStyle name="Normal 3 3" xfId="19"/>
    <cellStyle name="Normal 3 3 2" xfId="20"/>
    <cellStyle name="Normal 3 4" xfId="21"/>
    <cellStyle name="Normal 4" xfId="22"/>
    <cellStyle name="Normal 4 2" xfId="45"/>
    <cellStyle name="Normal 4 3" xfId="46"/>
    <cellStyle name="Normal 5" xfId="23"/>
    <cellStyle name="Normal 5 2" xfId="47"/>
    <cellStyle name="Normal 5 3" xfId="48"/>
    <cellStyle name="Normal 6" xfId="24"/>
    <cellStyle name="Normal 7" xfId="25"/>
    <cellStyle name="Normal_Sheet1 2" xfId="28"/>
    <cellStyle name="Percent 2" xfId="26"/>
    <cellStyle name="Percent 3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zoomScale="110" zoomScaleNormal="110" workbookViewId="0">
      <selection activeCell="L40" sqref="L40"/>
    </sheetView>
  </sheetViews>
  <sheetFormatPr defaultRowHeight="12.75"/>
  <cols>
    <col min="1" max="1" width="9.85546875" style="250" customWidth="1"/>
    <col min="2" max="2" width="4.85546875" style="97" customWidth="1"/>
    <col min="3" max="3" width="53" style="97" customWidth="1"/>
    <col min="4" max="4" width="13.7109375" style="254" customWidth="1"/>
    <col min="5" max="5" width="13.7109375" style="256" customWidth="1"/>
    <col min="6" max="6" width="9.140625" style="97"/>
    <col min="7" max="7" width="9.28515625" style="97" bestFit="1" customWidth="1"/>
    <col min="8" max="245" width="9.140625" style="97"/>
    <col min="246" max="246" width="9.85546875" style="97" customWidth="1"/>
    <col min="247" max="247" width="4.85546875" style="97" customWidth="1"/>
    <col min="248" max="248" width="53" style="97" customWidth="1"/>
    <col min="249" max="250" width="13.7109375" style="97" customWidth="1"/>
    <col min="251" max="252" width="9.140625" style="97"/>
    <col min="253" max="253" width="10" style="97" bestFit="1" customWidth="1"/>
    <col min="254" max="254" width="10.140625" style="97" customWidth="1"/>
    <col min="255" max="256" width="9.140625" style="97"/>
    <col min="257" max="257" width="10.28515625" style="97" bestFit="1" customWidth="1"/>
    <col min="258" max="258" width="11.140625" style="97" bestFit="1" customWidth="1"/>
    <col min="259" max="259" width="10.5703125" style="97" bestFit="1" customWidth="1"/>
    <col min="260" max="260" width="11.28515625" style="97" bestFit="1" customWidth="1"/>
    <col min="261" max="501" width="9.140625" style="97"/>
    <col min="502" max="502" width="9.85546875" style="97" customWidth="1"/>
    <col min="503" max="503" width="4.85546875" style="97" customWidth="1"/>
    <col min="504" max="504" width="53" style="97" customWidth="1"/>
    <col min="505" max="506" width="13.7109375" style="97" customWidth="1"/>
    <col min="507" max="508" width="9.140625" style="97"/>
    <col min="509" max="509" width="10" style="97" bestFit="1" customWidth="1"/>
    <col min="510" max="510" width="10.140625" style="97" customWidth="1"/>
    <col min="511" max="512" width="9.140625" style="97"/>
    <col min="513" max="513" width="10.28515625" style="97" bestFit="1" customWidth="1"/>
    <col min="514" max="514" width="11.140625" style="97" bestFit="1" customWidth="1"/>
    <col min="515" max="515" width="10.5703125" style="97" bestFit="1" customWidth="1"/>
    <col min="516" max="516" width="11.28515625" style="97" bestFit="1" customWidth="1"/>
    <col min="517" max="757" width="9.140625" style="97"/>
    <col min="758" max="758" width="9.85546875" style="97" customWidth="1"/>
    <col min="759" max="759" width="4.85546875" style="97" customWidth="1"/>
    <col min="760" max="760" width="53" style="97" customWidth="1"/>
    <col min="761" max="762" width="13.7109375" style="97" customWidth="1"/>
    <col min="763" max="764" width="9.140625" style="97"/>
    <col min="765" max="765" width="10" style="97" bestFit="1" customWidth="1"/>
    <col min="766" max="766" width="10.140625" style="97" customWidth="1"/>
    <col min="767" max="768" width="9.140625" style="97"/>
    <col min="769" max="769" width="10.28515625" style="97" bestFit="1" customWidth="1"/>
    <col min="770" max="770" width="11.140625" style="97" bestFit="1" customWidth="1"/>
    <col min="771" max="771" width="10.5703125" style="97" bestFit="1" customWidth="1"/>
    <col min="772" max="772" width="11.28515625" style="97" bestFit="1" customWidth="1"/>
    <col min="773" max="1013" width="9.140625" style="97"/>
    <col min="1014" max="1014" width="9.85546875" style="97" customWidth="1"/>
    <col min="1015" max="1015" width="4.85546875" style="97" customWidth="1"/>
    <col min="1016" max="1016" width="53" style="97" customWidth="1"/>
    <col min="1017" max="1018" width="13.7109375" style="97" customWidth="1"/>
    <col min="1019" max="1020" width="9.140625" style="97"/>
    <col min="1021" max="1021" width="10" style="97" bestFit="1" customWidth="1"/>
    <col min="1022" max="1022" width="10.140625" style="97" customWidth="1"/>
    <col min="1023" max="1024" width="9.140625" style="97"/>
    <col min="1025" max="1025" width="10.28515625" style="97" bestFit="1" customWidth="1"/>
    <col min="1026" max="1026" width="11.140625" style="97" bestFit="1" customWidth="1"/>
    <col min="1027" max="1027" width="10.5703125" style="97" bestFit="1" customWidth="1"/>
    <col min="1028" max="1028" width="11.28515625" style="97" bestFit="1" customWidth="1"/>
    <col min="1029" max="1269" width="9.140625" style="97"/>
    <col min="1270" max="1270" width="9.85546875" style="97" customWidth="1"/>
    <col min="1271" max="1271" width="4.85546875" style="97" customWidth="1"/>
    <col min="1272" max="1272" width="53" style="97" customWidth="1"/>
    <col min="1273" max="1274" width="13.7109375" style="97" customWidth="1"/>
    <col min="1275" max="1276" width="9.140625" style="97"/>
    <col min="1277" max="1277" width="10" style="97" bestFit="1" customWidth="1"/>
    <col min="1278" max="1278" width="10.140625" style="97" customWidth="1"/>
    <col min="1279" max="1280" width="9.140625" style="97"/>
    <col min="1281" max="1281" width="10.28515625" style="97" bestFit="1" customWidth="1"/>
    <col min="1282" max="1282" width="11.140625" style="97" bestFit="1" customWidth="1"/>
    <col min="1283" max="1283" width="10.5703125" style="97" bestFit="1" customWidth="1"/>
    <col min="1284" max="1284" width="11.28515625" style="97" bestFit="1" customWidth="1"/>
    <col min="1285" max="1525" width="9.140625" style="97"/>
    <col min="1526" max="1526" width="9.85546875" style="97" customWidth="1"/>
    <col min="1527" max="1527" width="4.85546875" style="97" customWidth="1"/>
    <col min="1528" max="1528" width="53" style="97" customWidth="1"/>
    <col min="1529" max="1530" width="13.7109375" style="97" customWidth="1"/>
    <col min="1531" max="1532" width="9.140625" style="97"/>
    <col min="1533" max="1533" width="10" style="97" bestFit="1" customWidth="1"/>
    <col min="1534" max="1534" width="10.140625" style="97" customWidth="1"/>
    <col min="1535" max="1536" width="9.140625" style="97"/>
    <col min="1537" max="1537" width="10.28515625" style="97" bestFit="1" customWidth="1"/>
    <col min="1538" max="1538" width="11.140625" style="97" bestFit="1" customWidth="1"/>
    <col min="1539" max="1539" width="10.5703125" style="97" bestFit="1" customWidth="1"/>
    <col min="1540" max="1540" width="11.28515625" style="97" bestFit="1" customWidth="1"/>
    <col min="1541" max="1781" width="9.140625" style="97"/>
    <col min="1782" max="1782" width="9.85546875" style="97" customWidth="1"/>
    <col min="1783" max="1783" width="4.85546875" style="97" customWidth="1"/>
    <col min="1784" max="1784" width="53" style="97" customWidth="1"/>
    <col min="1785" max="1786" width="13.7109375" style="97" customWidth="1"/>
    <col min="1787" max="1788" width="9.140625" style="97"/>
    <col min="1789" max="1789" width="10" style="97" bestFit="1" customWidth="1"/>
    <col min="1790" max="1790" width="10.140625" style="97" customWidth="1"/>
    <col min="1791" max="1792" width="9.140625" style="97"/>
    <col min="1793" max="1793" width="10.28515625" style="97" bestFit="1" customWidth="1"/>
    <col min="1794" max="1794" width="11.140625" style="97" bestFit="1" customWidth="1"/>
    <col min="1795" max="1795" width="10.5703125" style="97" bestFit="1" customWidth="1"/>
    <col min="1796" max="1796" width="11.28515625" style="97" bestFit="1" customWidth="1"/>
    <col min="1797" max="2037" width="9.140625" style="97"/>
    <col min="2038" max="2038" width="9.85546875" style="97" customWidth="1"/>
    <col min="2039" max="2039" width="4.85546875" style="97" customWidth="1"/>
    <col min="2040" max="2040" width="53" style="97" customWidth="1"/>
    <col min="2041" max="2042" width="13.7109375" style="97" customWidth="1"/>
    <col min="2043" max="2044" width="9.140625" style="97"/>
    <col min="2045" max="2045" width="10" style="97" bestFit="1" customWidth="1"/>
    <col min="2046" max="2046" width="10.140625" style="97" customWidth="1"/>
    <col min="2047" max="2048" width="9.140625" style="97"/>
    <col min="2049" max="2049" width="10.28515625" style="97" bestFit="1" customWidth="1"/>
    <col min="2050" max="2050" width="11.140625" style="97" bestFit="1" customWidth="1"/>
    <col min="2051" max="2051" width="10.5703125" style="97" bestFit="1" customWidth="1"/>
    <col min="2052" max="2052" width="11.28515625" style="97" bestFit="1" customWidth="1"/>
    <col min="2053" max="2293" width="9.140625" style="97"/>
    <col min="2294" max="2294" width="9.85546875" style="97" customWidth="1"/>
    <col min="2295" max="2295" width="4.85546875" style="97" customWidth="1"/>
    <col min="2296" max="2296" width="53" style="97" customWidth="1"/>
    <col min="2297" max="2298" width="13.7109375" style="97" customWidth="1"/>
    <col min="2299" max="2300" width="9.140625" style="97"/>
    <col min="2301" max="2301" width="10" style="97" bestFit="1" customWidth="1"/>
    <col min="2302" max="2302" width="10.140625" style="97" customWidth="1"/>
    <col min="2303" max="2304" width="9.140625" style="97"/>
    <col min="2305" max="2305" width="10.28515625" style="97" bestFit="1" customWidth="1"/>
    <col min="2306" max="2306" width="11.140625" style="97" bestFit="1" customWidth="1"/>
    <col min="2307" max="2307" width="10.5703125" style="97" bestFit="1" customWidth="1"/>
    <col min="2308" max="2308" width="11.28515625" style="97" bestFit="1" customWidth="1"/>
    <col min="2309" max="2549" width="9.140625" style="97"/>
    <col min="2550" max="2550" width="9.85546875" style="97" customWidth="1"/>
    <col min="2551" max="2551" width="4.85546875" style="97" customWidth="1"/>
    <col min="2552" max="2552" width="53" style="97" customWidth="1"/>
    <col min="2553" max="2554" width="13.7109375" style="97" customWidth="1"/>
    <col min="2555" max="2556" width="9.140625" style="97"/>
    <col min="2557" max="2557" width="10" style="97" bestFit="1" customWidth="1"/>
    <col min="2558" max="2558" width="10.140625" style="97" customWidth="1"/>
    <col min="2559" max="2560" width="9.140625" style="97"/>
    <col min="2561" max="2561" width="10.28515625" style="97" bestFit="1" customWidth="1"/>
    <col min="2562" max="2562" width="11.140625" style="97" bestFit="1" customWidth="1"/>
    <col min="2563" max="2563" width="10.5703125" style="97" bestFit="1" customWidth="1"/>
    <col min="2564" max="2564" width="11.28515625" style="97" bestFit="1" customWidth="1"/>
    <col min="2565" max="2805" width="9.140625" style="97"/>
    <col min="2806" max="2806" width="9.85546875" style="97" customWidth="1"/>
    <col min="2807" max="2807" width="4.85546875" style="97" customWidth="1"/>
    <col min="2808" max="2808" width="53" style="97" customWidth="1"/>
    <col min="2809" max="2810" width="13.7109375" style="97" customWidth="1"/>
    <col min="2811" max="2812" width="9.140625" style="97"/>
    <col min="2813" max="2813" width="10" style="97" bestFit="1" customWidth="1"/>
    <col min="2814" max="2814" width="10.140625" style="97" customWidth="1"/>
    <col min="2815" max="2816" width="9.140625" style="97"/>
    <col min="2817" max="2817" width="10.28515625" style="97" bestFit="1" customWidth="1"/>
    <col min="2818" max="2818" width="11.140625" style="97" bestFit="1" customWidth="1"/>
    <col min="2819" max="2819" width="10.5703125" style="97" bestFit="1" customWidth="1"/>
    <col min="2820" max="2820" width="11.28515625" style="97" bestFit="1" customWidth="1"/>
    <col min="2821" max="3061" width="9.140625" style="97"/>
    <col min="3062" max="3062" width="9.85546875" style="97" customWidth="1"/>
    <col min="3063" max="3063" width="4.85546875" style="97" customWidth="1"/>
    <col min="3064" max="3064" width="53" style="97" customWidth="1"/>
    <col min="3065" max="3066" width="13.7109375" style="97" customWidth="1"/>
    <col min="3067" max="3068" width="9.140625" style="97"/>
    <col min="3069" max="3069" width="10" style="97" bestFit="1" customWidth="1"/>
    <col min="3070" max="3070" width="10.140625" style="97" customWidth="1"/>
    <col min="3071" max="3072" width="9.140625" style="97"/>
    <col min="3073" max="3073" width="10.28515625" style="97" bestFit="1" customWidth="1"/>
    <col min="3074" max="3074" width="11.140625" style="97" bestFit="1" customWidth="1"/>
    <col min="3075" max="3075" width="10.5703125" style="97" bestFit="1" customWidth="1"/>
    <col min="3076" max="3076" width="11.28515625" style="97" bestFit="1" customWidth="1"/>
    <col min="3077" max="3317" width="9.140625" style="97"/>
    <col min="3318" max="3318" width="9.85546875" style="97" customWidth="1"/>
    <col min="3319" max="3319" width="4.85546875" style="97" customWidth="1"/>
    <col min="3320" max="3320" width="53" style="97" customWidth="1"/>
    <col min="3321" max="3322" width="13.7109375" style="97" customWidth="1"/>
    <col min="3323" max="3324" width="9.140625" style="97"/>
    <col min="3325" max="3325" width="10" style="97" bestFit="1" customWidth="1"/>
    <col min="3326" max="3326" width="10.140625" style="97" customWidth="1"/>
    <col min="3327" max="3328" width="9.140625" style="97"/>
    <col min="3329" max="3329" width="10.28515625" style="97" bestFit="1" customWidth="1"/>
    <col min="3330" max="3330" width="11.140625" style="97" bestFit="1" customWidth="1"/>
    <col min="3331" max="3331" width="10.5703125" style="97" bestFit="1" customWidth="1"/>
    <col min="3332" max="3332" width="11.28515625" style="97" bestFit="1" customWidth="1"/>
    <col min="3333" max="3573" width="9.140625" style="97"/>
    <col min="3574" max="3574" width="9.85546875" style="97" customWidth="1"/>
    <col min="3575" max="3575" width="4.85546875" style="97" customWidth="1"/>
    <col min="3576" max="3576" width="53" style="97" customWidth="1"/>
    <col min="3577" max="3578" width="13.7109375" style="97" customWidth="1"/>
    <col min="3579" max="3580" width="9.140625" style="97"/>
    <col min="3581" max="3581" width="10" style="97" bestFit="1" customWidth="1"/>
    <col min="3582" max="3582" width="10.140625" style="97" customWidth="1"/>
    <col min="3583" max="3584" width="9.140625" style="97"/>
    <col min="3585" max="3585" width="10.28515625" style="97" bestFit="1" customWidth="1"/>
    <col min="3586" max="3586" width="11.140625" style="97" bestFit="1" customWidth="1"/>
    <col min="3587" max="3587" width="10.5703125" style="97" bestFit="1" customWidth="1"/>
    <col min="3588" max="3588" width="11.28515625" style="97" bestFit="1" customWidth="1"/>
    <col min="3589" max="3829" width="9.140625" style="97"/>
    <col min="3830" max="3830" width="9.85546875" style="97" customWidth="1"/>
    <col min="3831" max="3831" width="4.85546875" style="97" customWidth="1"/>
    <col min="3832" max="3832" width="53" style="97" customWidth="1"/>
    <col min="3833" max="3834" width="13.7109375" style="97" customWidth="1"/>
    <col min="3835" max="3836" width="9.140625" style="97"/>
    <col min="3837" max="3837" width="10" style="97" bestFit="1" customWidth="1"/>
    <col min="3838" max="3838" width="10.140625" style="97" customWidth="1"/>
    <col min="3839" max="3840" width="9.140625" style="97"/>
    <col min="3841" max="3841" width="10.28515625" style="97" bestFit="1" customWidth="1"/>
    <col min="3842" max="3842" width="11.140625" style="97" bestFit="1" customWidth="1"/>
    <col min="3843" max="3843" width="10.5703125" style="97" bestFit="1" customWidth="1"/>
    <col min="3844" max="3844" width="11.28515625" style="97" bestFit="1" customWidth="1"/>
    <col min="3845" max="4085" width="9.140625" style="97"/>
    <col min="4086" max="4086" width="9.85546875" style="97" customWidth="1"/>
    <col min="4087" max="4087" width="4.85546875" style="97" customWidth="1"/>
    <col min="4088" max="4088" width="53" style="97" customWidth="1"/>
    <col min="4089" max="4090" width="13.7109375" style="97" customWidth="1"/>
    <col min="4091" max="4092" width="9.140625" style="97"/>
    <col min="4093" max="4093" width="10" style="97" bestFit="1" customWidth="1"/>
    <col min="4094" max="4094" width="10.140625" style="97" customWidth="1"/>
    <col min="4095" max="4096" width="9.140625" style="97"/>
    <col min="4097" max="4097" width="10.28515625" style="97" bestFit="1" customWidth="1"/>
    <col min="4098" max="4098" width="11.140625" style="97" bestFit="1" customWidth="1"/>
    <col min="4099" max="4099" width="10.5703125" style="97" bestFit="1" customWidth="1"/>
    <col min="4100" max="4100" width="11.28515625" style="97" bestFit="1" customWidth="1"/>
    <col min="4101" max="4341" width="9.140625" style="97"/>
    <col min="4342" max="4342" width="9.85546875" style="97" customWidth="1"/>
    <col min="4343" max="4343" width="4.85546875" style="97" customWidth="1"/>
    <col min="4344" max="4344" width="53" style="97" customWidth="1"/>
    <col min="4345" max="4346" width="13.7109375" style="97" customWidth="1"/>
    <col min="4347" max="4348" width="9.140625" style="97"/>
    <col min="4349" max="4349" width="10" style="97" bestFit="1" customWidth="1"/>
    <col min="4350" max="4350" width="10.140625" style="97" customWidth="1"/>
    <col min="4351" max="4352" width="9.140625" style="97"/>
    <col min="4353" max="4353" width="10.28515625" style="97" bestFit="1" customWidth="1"/>
    <col min="4354" max="4354" width="11.140625" style="97" bestFit="1" customWidth="1"/>
    <col min="4355" max="4355" width="10.5703125" style="97" bestFit="1" customWidth="1"/>
    <col min="4356" max="4356" width="11.28515625" style="97" bestFit="1" customWidth="1"/>
    <col min="4357" max="4597" width="9.140625" style="97"/>
    <col min="4598" max="4598" width="9.85546875" style="97" customWidth="1"/>
    <col min="4599" max="4599" width="4.85546875" style="97" customWidth="1"/>
    <col min="4600" max="4600" width="53" style="97" customWidth="1"/>
    <col min="4601" max="4602" width="13.7109375" style="97" customWidth="1"/>
    <col min="4603" max="4604" width="9.140625" style="97"/>
    <col min="4605" max="4605" width="10" style="97" bestFit="1" customWidth="1"/>
    <col min="4606" max="4606" width="10.140625" style="97" customWidth="1"/>
    <col min="4607" max="4608" width="9.140625" style="97"/>
    <col min="4609" max="4609" width="10.28515625" style="97" bestFit="1" customWidth="1"/>
    <col min="4610" max="4610" width="11.140625" style="97" bestFit="1" customWidth="1"/>
    <col min="4611" max="4611" width="10.5703125" style="97" bestFit="1" customWidth="1"/>
    <col min="4612" max="4612" width="11.28515625" style="97" bestFit="1" customWidth="1"/>
    <col min="4613" max="4853" width="9.140625" style="97"/>
    <col min="4854" max="4854" width="9.85546875" style="97" customWidth="1"/>
    <col min="4855" max="4855" width="4.85546875" style="97" customWidth="1"/>
    <col min="4856" max="4856" width="53" style="97" customWidth="1"/>
    <col min="4857" max="4858" width="13.7109375" style="97" customWidth="1"/>
    <col min="4859" max="4860" width="9.140625" style="97"/>
    <col min="4861" max="4861" width="10" style="97" bestFit="1" customWidth="1"/>
    <col min="4862" max="4862" width="10.140625" style="97" customWidth="1"/>
    <col min="4863" max="4864" width="9.140625" style="97"/>
    <col min="4865" max="4865" width="10.28515625" style="97" bestFit="1" customWidth="1"/>
    <col min="4866" max="4866" width="11.140625" style="97" bestFit="1" customWidth="1"/>
    <col min="4867" max="4867" width="10.5703125" style="97" bestFit="1" customWidth="1"/>
    <col min="4868" max="4868" width="11.28515625" style="97" bestFit="1" customWidth="1"/>
    <col min="4869" max="5109" width="9.140625" style="97"/>
    <col min="5110" max="5110" width="9.85546875" style="97" customWidth="1"/>
    <col min="5111" max="5111" width="4.85546875" style="97" customWidth="1"/>
    <col min="5112" max="5112" width="53" style="97" customWidth="1"/>
    <col min="5113" max="5114" width="13.7109375" style="97" customWidth="1"/>
    <col min="5115" max="5116" width="9.140625" style="97"/>
    <col min="5117" max="5117" width="10" style="97" bestFit="1" customWidth="1"/>
    <col min="5118" max="5118" width="10.140625" style="97" customWidth="1"/>
    <col min="5119" max="5120" width="9.140625" style="97"/>
    <col min="5121" max="5121" width="10.28515625" style="97" bestFit="1" customWidth="1"/>
    <col min="5122" max="5122" width="11.140625" style="97" bestFit="1" customWidth="1"/>
    <col min="5123" max="5123" width="10.5703125" style="97" bestFit="1" customWidth="1"/>
    <col min="5124" max="5124" width="11.28515625" style="97" bestFit="1" customWidth="1"/>
    <col min="5125" max="5365" width="9.140625" style="97"/>
    <col min="5366" max="5366" width="9.85546875" style="97" customWidth="1"/>
    <col min="5367" max="5367" width="4.85546875" style="97" customWidth="1"/>
    <col min="5368" max="5368" width="53" style="97" customWidth="1"/>
    <col min="5369" max="5370" width="13.7109375" style="97" customWidth="1"/>
    <col min="5371" max="5372" width="9.140625" style="97"/>
    <col min="5373" max="5373" width="10" style="97" bestFit="1" customWidth="1"/>
    <col min="5374" max="5374" width="10.140625" style="97" customWidth="1"/>
    <col min="5375" max="5376" width="9.140625" style="97"/>
    <col min="5377" max="5377" width="10.28515625" style="97" bestFit="1" customWidth="1"/>
    <col min="5378" max="5378" width="11.140625" style="97" bestFit="1" customWidth="1"/>
    <col min="5379" max="5379" width="10.5703125" style="97" bestFit="1" customWidth="1"/>
    <col min="5380" max="5380" width="11.28515625" style="97" bestFit="1" customWidth="1"/>
    <col min="5381" max="5621" width="9.140625" style="97"/>
    <col min="5622" max="5622" width="9.85546875" style="97" customWidth="1"/>
    <col min="5623" max="5623" width="4.85546875" style="97" customWidth="1"/>
    <col min="5624" max="5624" width="53" style="97" customWidth="1"/>
    <col min="5625" max="5626" width="13.7109375" style="97" customWidth="1"/>
    <col min="5627" max="5628" width="9.140625" style="97"/>
    <col min="5629" max="5629" width="10" style="97" bestFit="1" customWidth="1"/>
    <col min="5630" max="5630" width="10.140625" style="97" customWidth="1"/>
    <col min="5631" max="5632" width="9.140625" style="97"/>
    <col min="5633" max="5633" width="10.28515625" style="97" bestFit="1" customWidth="1"/>
    <col min="5634" max="5634" width="11.140625" style="97" bestFit="1" customWidth="1"/>
    <col min="5635" max="5635" width="10.5703125" style="97" bestFit="1" customWidth="1"/>
    <col min="5636" max="5636" width="11.28515625" style="97" bestFit="1" customWidth="1"/>
    <col min="5637" max="5877" width="9.140625" style="97"/>
    <col min="5878" max="5878" width="9.85546875" style="97" customWidth="1"/>
    <col min="5879" max="5879" width="4.85546875" style="97" customWidth="1"/>
    <col min="5880" max="5880" width="53" style="97" customWidth="1"/>
    <col min="5881" max="5882" width="13.7109375" style="97" customWidth="1"/>
    <col min="5883" max="5884" width="9.140625" style="97"/>
    <col min="5885" max="5885" width="10" style="97" bestFit="1" customWidth="1"/>
    <col min="5886" max="5886" width="10.140625" style="97" customWidth="1"/>
    <col min="5887" max="5888" width="9.140625" style="97"/>
    <col min="5889" max="5889" width="10.28515625" style="97" bestFit="1" customWidth="1"/>
    <col min="5890" max="5890" width="11.140625" style="97" bestFit="1" customWidth="1"/>
    <col min="5891" max="5891" width="10.5703125" style="97" bestFit="1" customWidth="1"/>
    <col min="5892" max="5892" width="11.28515625" style="97" bestFit="1" customWidth="1"/>
    <col min="5893" max="6133" width="9.140625" style="97"/>
    <col min="6134" max="6134" width="9.85546875" style="97" customWidth="1"/>
    <col min="6135" max="6135" width="4.85546875" style="97" customWidth="1"/>
    <col min="6136" max="6136" width="53" style="97" customWidth="1"/>
    <col min="6137" max="6138" width="13.7109375" style="97" customWidth="1"/>
    <col min="6139" max="6140" width="9.140625" style="97"/>
    <col min="6141" max="6141" width="10" style="97" bestFit="1" customWidth="1"/>
    <col min="6142" max="6142" width="10.140625" style="97" customWidth="1"/>
    <col min="6143" max="6144" width="9.140625" style="97"/>
    <col min="6145" max="6145" width="10.28515625" style="97" bestFit="1" customWidth="1"/>
    <col min="6146" max="6146" width="11.140625" style="97" bestFit="1" customWidth="1"/>
    <col min="6147" max="6147" width="10.5703125" style="97" bestFit="1" customWidth="1"/>
    <col min="6148" max="6148" width="11.28515625" style="97" bestFit="1" customWidth="1"/>
    <col min="6149" max="6389" width="9.140625" style="97"/>
    <col min="6390" max="6390" width="9.85546875" style="97" customWidth="1"/>
    <col min="6391" max="6391" width="4.85546875" style="97" customWidth="1"/>
    <col min="6392" max="6392" width="53" style="97" customWidth="1"/>
    <col min="6393" max="6394" width="13.7109375" style="97" customWidth="1"/>
    <col min="6395" max="6396" width="9.140625" style="97"/>
    <col min="6397" max="6397" width="10" style="97" bestFit="1" customWidth="1"/>
    <col min="6398" max="6398" width="10.140625" style="97" customWidth="1"/>
    <col min="6399" max="6400" width="9.140625" style="97"/>
    <col min="6401" max="6401" width="10.28515625" style="97" bestFit="1" customWidth="1"/>
    <col min="6402" max="6402" width="11.140625" style="97" bestFit="1" customWidth="1"/>
    <col min="6403" max="6403" width="10.5703125" style="97" bestFit="1" customWidth="1"/>
    <col min="6404" max="6404" width="11.28515625" style="97" bestFit="1" customWidth="1"/>
    <col min="6405" max="6645" width="9.140625" style="97"/>
    <col min="6646" max="6646" width="9.85546875" style="97" customWidth="1"/>
    <col min="6647" max="6647" width="4.85546875" style="97" customWidth="1"/>
    <col min="6648" max="6648" width="53" style="97" customWidth="1"/>
    <col min="6649" max="6650" width="13.7109375" style="97" customWidth="1"/>
    <col min="6651" max="6652" width="9.140625" style="97"/>
    <col min="6653" max="6653" width="10" style="97" bestFit="1" customWidth="1"/>
    <col min="6654" max="6654" width="10.140625" style="97" customWidth="1"/>
    <col min="6655" max="6656" width="9.140625" style="97"/>
    <col min="6657" max="6657" width="10.28515625" style="97" bestFit="1" customWidth="1"/>
    <col min="6658" max="6658" width="11.140625" style="97" bestFit="1" customWidth="1"/>
    <col min="6659" max="6659" width="10.5703125" style="97" bestFit="1" customWidth="1"/>
    <col min="6660" max="6660" width="11.28515625" style="97" bestFit="1" customWidth="1"/>
    <col min="6661" max="6901" width="9.140625" style="97"/>
    <col min="6902" max="6902" width="9.85546875" style="97" customWidth="1"/>
    <col min="6903" max="6903" width="4.85546875" style="97" customWidth="1"/>
    <col min="6904" max="6904" width="53" style="97" customWidth="1"/>
    <col min="6905" max="6906" width="13.7109375" style="97" customWidth="1"/>
    <col min="6907" max="6908" width="9.140625" style="97"/>
    <col min="6909" max="6909" width="10" style="97" bestFit="1" customWidth="1"/>
    <col min="6910" max="6910" width="10.140625" style="97" customWidth="1"/>
    <col min="6911" max="6912" width="9.140625" style="97"/>
    <col min="6913" max="6913" width="10.28515625" style="97" bestFit="1" customWidth="1"/>
    <col min="6914" max="6914" width="11.140625" style="97" bestFit="1" customWidth="1"/>
    <col min="6915" max="6915" width="10.5703125" style="97" bestFit="1" customWidth="1"/>
    <col min="6916" max="6916" width="11.28515625" style="97" bestFit="1" customWidth="1"/>
    <col min="6917" max="7157" width="9.140625" style="97"/>
    <col min="7158" max="7158" width="9.85546875" style="97" customWidth="1"/>
    <col min="7159" max="7159" width="4.85546875" style="97" customWidth="1"/>
    <col min="7160" max="7160" width="53" style="97" customWidth="1"/>
    <col min="7161" max="7162" width="13.7109375" style="97" customWidth="1"/>
    <col min="7163" max="7164" width="9.140625" style="97"/>
    <col min="7165" max="7165" width="10" style="97" bestFit="1" customWidth="1"/>
    <col min="7166" max="7166" width="10.140625" style="97" customWidth="1"/>
    <col min="7167" max="7168" width="9.140625" style="97"/>
    <col min="7169" max="7169" width="10.28515625" style="97" bestFit="1" customWidth="1"/>
    <col min="7170" max="7170" width="11.140625" style="97" bestFit="1" customWidth="1"/>
    <col min="7171" max="7171" width="10.5703125" style="97" bestFit="1" customWidth="1"/>
    <col min="7172" max="7172" width="11.28515625" style="97" bestFit="1" customWidth="1"/>
    <col min="7173" max="7413" width="9.140625" style="97"/>
    <col min="7414" max="7414" width="9.85546875" style="97" customWidth="1"/>
    <col min="7415" max="7415" width="4.85546875" style="97" customWidth="1"/>
    <col min="7416" max="7416" width="53" style="97" customWidth="1"/>
    <col min="7417" max="7418" width="13.7109375" style="97" customWidth="1"/>
    <col min="7419" max="7420" width="9.140625" style="97"/>
    <col min="7421" max="7421" width="10" style="97" bestFit="1" customWidth="1"/>
    <col min="7422" max="7422" width="10.140625" style="97" customWidth="1"/>
    <col min="7423" max="7424" width="9.140625" style="97"/>
    <col min="7425" max="7425" width="10.28515625" style="97" bestFit="1" customWidth="1"/>
    <col min="7426" max="7426" width="11.140625" style="97" bestFit="1" customWidth="1"/>
    <col min="7427" max="7427" width="10.5703125" style="97" bestFit="1" customWidth="1"/>
    <col min="7428" max="7428" width="11.28515625" style="97" bestFit="1" customWidth="1"/>
    <col min="7429" max="7669" width="9.140625" style="97"/>
    <col min="7670" max="7670" width="9.85546875" style="97" customWidth="1"/>
    <col min="7671" max="7671" width="4.85546875" style="97" customWidth="1"/>
    <col min="7672" max="7672" width="53" style="97" customWidth="1"/>
    <col min="7673" max="7674" width="13.7109375" style="97" customWidth="1"/>
    <col min="7675" max="7676" width="9.140625" style="97"/>
    <col min="7677" max="7677" width="10" style="97" bestFit="1" customWidth="1"/>
    <col min="7678" max="7678" width="10.140625" style="97" customWidth="1"/>
    <col min="7679" max="7680" width="9.140625" style="97"/>
    <col min="7681" max="7681" width="10.28515625" style="97" bestFit="1" customWidth="1"/>
    <col min="7682" max="7682" width="11.140625" style="97" bestFit="1" customWidth="1"/>
    <col min="7683" max="7683" width="10.5703125" style="97" bestFit="1" customWidth="1"/>
    <col min="7684" max="7684" width="11.28515625" style="97" bestFit="1" customWidth="1"/>
    <col min="7685" max="7925" width="9.140625" style="97"/>
    <col min="7926" max="7926" width="9.85546875" style="97" customWidth="1"/>
    <col min="7927" max="7927" width="4.85546875" style="97" customWidth="1"/>
    <col min="7928" max="7928" width="53" style="97" customWidth="1"/>
    <col min="7929" max="7930" width="13.7109375" style="97" customWidth="1"/>
    <col min="7931" max="7932" width="9.140625" style="97"/>
    <col min="7933" max="7933" width="10" style="97" bestFit="1" customWidth="1"/>
    <col min="7934" max="7934" width="10.140625" style="97" customWidth="1"/>
    <col min="7935" max="7936" width="9.140625" style="97"/>
    <col min="7937" max="7937" width="10.28515625" style="97" bestFit="1" customWidth="1"/>
    <col min="7938" max="7938" width="11.140625" style="97" bestFit="1" customWidth="1"/>
    <col min="7939" max="7939" width="10.5703125" style="97" bestFit="1" customWidth="1"/>
    <col min="7940" max="7940" width="11.28515625" style="97" bestFit="1" customWidth="1"/>
    <col min="7941" max="8181" width="9.140625" style="97"/>
    <col min="8182" max="8182" width="9.85546875" style="97" customWidth="1"/>
    <col min="8183" max="8183" width="4.85546875" style="97" customWidth="1"/>
    <col min="8184" max="8184" width="53" style="97" customWidth="1"/>
    <col min="8185" max="8186" width="13.7109375" style="97" customWidth="1"/>
    <col min="8187" max="8188" width="9.140625" style="97"/>
    <col min="8189" max="8189" width="10" style="97" bestFit="1" customWidth="1"/>
    <col min="8190" max="8190" width="10.140625" style="97" customWidth="1"/>
    <col min="8191" max="8192" width="9.140625" style="97"/>
    <col min="8193" max="8193" width="10.28515625" style="97" bestFit="1" customWidth="1"/>
    <col min="8194" max="8194" width="11.140625" style="97" bestFit="1" customWidth="1"/>
    <col min="8195" max="8195" width="10.5703125" style="97" bestFit="1" customWidth="1"/>
    <col min="8196" max="8196" width="11.28515625" style="97" bestFit="1" customWidth="1"/>
    <col min="8197" max="8437" width="9.140625" style="97"/>
    <col min="8438" max="8438" width="9.85546875" style="97" customWidth="1"/>
    <col min="8439" max="8439" width="4.85546875" style="97" customWidth="1"/>
    <col min="8440" max="8440" width="53" style="97" customWidth="1"/>
    <col min="8441" max="8442" width="13.7109375" style="97" customWidth="1"/>
    <col min="8443" max="8444" width="9.140625" style="97"/>
    <col min="8445" max="8445" width="10" style="97" bestFit="1" customWidth="1"/>
    <col min="8446" max="8446" width="10.140625" style="97" customWidth="1"/>
    <col min="8447" max="8448" width="9.140625" style="97"/>
    <col min="8449" max="8449" width="10.28515625" style="97" bestFit="1" customWidth="1"/>
    <col min="8450" max="8450" width="11.140625" style="97" bestFit="1" customWidth="1"/>
    <col min="8451" max="8451" width="10.5703125" style="97" bestFit="1" customWidth="1"/>
    <col min="8452" max="8452" width="11.28515625" style="97" bestFit="1" customWidth="1"/>
    <col min="8453" max="8693" width="9.140625" style="97"/>
    <col min="8694" max="8694" width="9.85546875" style="97" customWidth="1"/>
    <col min="8695" max="8695" width="4.85546875" style="97" customWidth="1"/>
    <col min="8696" max="8696" width="53" style="97" customWidth="1"/>
    <col min="8697" max="8698" width="13.7109375" style="97" customWidth="1"/>
    <col min="8699" max="8700" width="9.140625" style="97"/>
    <col min="8701" max="8701" width="10" style="97" bestFit="1" customWidth="1"/>
    <col min="8702" max="8702" width="10.140625" style="97" customWidth="1"/>
    <col min="8703" max="8704" width="9.140625" style="97"/>
    <col min="8705" max="8705" width="10.28515625" style="97" bestFit="1" customWidth="1"/>
    <col min="8706" max="8706" width="11.140625" style="97" bestFit="1" customWidth="1"/>
    <col min="8707" max="8707" width="10.5703125" style="97" bestFit="1" customWidth="1"/>
    <col min="8708" max="8708" width="11.28515625" style="97" bestFit="1" customWidth="1"/>
    <col min="8709" max="8949" width="9.140625" style="97"/>
    <col min="8950" max="8950" width="9.85546875" style="97" customWidth="1"/>
    <col min="8951" max="8951" width="4.85546875" style="97" customWidth="1"/>
    <col min="8952" max="8952" width="53" style="97" customWidth="1"/>
    <col min="8953" max="8954" width="13.7109375" style="97" customWidth="1"/>
    <col min="8955" max="8956" width="9.140625" style="97"/>
    <col min="8957" max="8957" width="10" style="97" bestFit="1" customWidth="1"/>
    <col min="8958" max="8958" width="10.140625" style="97" customWidth="1"/>
    <col min="8959" max="8960" width="9.140625" style="97"/>
    <col min="8961" max="8961" width="10.28515625" style="97" bestFit="1" customWidth="1"/>
    <col min="8962" max="8962" width="11.140625" style="97" bestFit="1" customWidth="1"/>
    <col min="8963" max="8963" width="10.5703125" style="97" bestFit="1" customWidth="1"/>
    <col min="8964" max="8964" width="11.28515625" style="97" bestFit="1" customWidth="1"/>
    <col min="8965" max="9205" width="9.140625" style="97"/>
    <col min="9206" max="9206" width="9.85546875" style="97" customWidth="1"/>
    <col min="9207" max="9207" width="4.85546875" style="97" customWidth="1"/>
    <col min="9208" max="9208" width="53" style="97" customWidth="1"/>
    <col min="9209" max="9210" width="13.7109375" style="97" customWidth="1"/>
    <col min="9211" max="9212" width="9.140625" style="97"/>
    <col min="9213" max="9213" width="10" style="97" bestFit="1" customWidth="1"/>
    <col min="9214" max="9214" width="10.140625" style="97" customWidth="1"/>
    <col min="9215" max="9216" width="9.140625" style="97"/>
    <col min="9217" max="9217" width="10.28515625" style="97" bestFit="1" customWidth="1"/>
    <col min="9218" max="9218" width="11.140625" style="97" bestFit="1" customWidth="1"/>
    <col min="9219" max="9219" width="10.5703125" style="97" bestFit="1" customWidth="1"/>
    <col min="9220" max="9220" width="11.28515625" style="97" bestFit="1" customWidth="1"/>
    <col min="9221" max="9461" width="9.140625" style="97"/>
    <col min="9462" max="9462" width="9.85546875" style="97" customWidth="1"/>
    <col min="9463" max="9463" width="4.85546875" style="97" customWidth="1"/>
    <col min="9464" max="9464" width="53" style="97" customWidth="1"/>
    <col min="9465" max="9466" width="13.7109375" style="97" customWidth="1"/>
    <col min="9467" max="9468" width="9.140625" style="97"/>
    <col min="9469" max="9469" width="10" style="97" bestFit="1" customWidth="1"/>
    <col min="9470" max="9470" width="10.140625" style="97" customWidth="1"/>
    <col min="9471" max="9472" width="9.140625" style="97"/>
    <col min="9473" max="9473" width="10.28515625" style="97" bestFit="1" customWidth="1"/>
    <col min="9474" max="9474" width="11.140625" style="97" bestFit="1" customWidth="1"/>
    <col min="9475" max="9475" width="10.5703125" style="97" bestFit="1" customWidth="1"/>
    <col min="9476" max="9476" width="11.28515625" style="97" bestFit="1" customWidth="1"/>
    <col min="9477" max="9717" width="9.140625" style="97"/>
    <col min="9718" max="9718" width="9.85546875" style="97" customWidth="1"/>
    <col min="9719" max="9719" width="4.85546875" style="97" customWidth="1"/>
    <col min="9720" max="9720" width="53" style="97" customWidth="1"/>
    <col min="9721" max="9722" width="13.7109375" style="97" customWidth="1"/>
    <col min="9723" max="9724" width="9.140625" style="97"/>
    <col min="9725" max="9725" width="10" style="97" bestFit="1" customWidth="1"/>
    <col min="9726" max="9726" width="10.140625" style="97" customWidth="1"/>
    <col min="9727" max="9728" width="9.140625" style="97"/>
    <col min="9729" max="9729" width="10.28515625" style="97" bestFit="1" customWidth="1"/>
    <col min="9730" max="9730" width="11.140625" style="97" bestFit="1" customWidth="1"/>
    <col min="9731" max="9731" width="10.5703125" style="97" bestFit="1" customWidth="1"/>
    <col min="9732" max="9732" width="11.28515625" style="97" bestFit="1" customWidth="1"/>
    <col min="9733" max="9973" width="9.140625" style="97"/>
    <col min="9974" max="9974" width="9.85546875" style="97" customWidth="1"/>
    <col min="9975" max="9975" width="4.85546875" style="97" customWidth="1"/>
    <col min="9976" max="9976" width="53" style="97" customWidth="1"/>
    <col min="9977" max="9978" width="13.7109375" style="97" customWidth="1"/>
    <col min="9979" max="9980" width="9.140625" style="97"/>
    <col min="9981" max="9981" width="10" style="97" bestFit="1" customWidth="1"/>
    <col min="9982" max="9982" width="10.140625" style="97" customWidth="1"/>
    <col min="9983" max="9984" width="9.140625" style="97"/>
    <col min="9985" max="9985" width="10.28515625" style="97" bestFit="1" customWidth="1"/>
    <col min="9986" max="9986" width="11.140625" style="97" bestFit="1" customWidth="1"/>
    <col min="9987" max="9987" width="10.5703125" style="97" bestFit="1" customWidth="1"/>
    <col min="9988" max="9988" width="11.28515625" style="97" bestFit="1" customWidth="1"/>
    <col min="9989" max="10229" width="9.140625" style="97"/>
    <col min="10230" max="10230" width="9.85546875" style="97" customWidth="1"/>
    <col min="10231" max="10231" width="4.85546875" style="97" customWidth="1"/>
    <col min="10232" max="10232" width="53" style="97" customWidth="1"/>
    <col min="10233" max="10234" width="13.7109375" style="97" customWidth="1"/>
    <col min="10235" max="10236" width="9.140625" style="97"/>
    <col min="10237" max="10237" width="10" style="97" bestFit="1" customWidth="1"/>
    <col min="10238" max="10238" width="10.140625" style="97" customWidth="1"/>
    <col min="10239" max="10240" width="9.140625" style="97"/>
    <col min="10241" max="10241" width="10.28515625" style="97" bestFit="1" customWidth="1"/>
    <col min="10242" max="10242" width="11.140625" style="97" bestFit="1" customWidth="1"/>
    <col min="10243" max="10243" width="10.5703125" style="97" bestFit="1" customWidth="1"/>
    <col min="10244" max="10244" width="11.28515625" style="97" bestFit="1" customWidth="1"/>
    <col min="10245" max="10485" width="9.140625" style="97"/>
    <col min="10486" max="10486" width="9.85546875" style="97" customWidth="1"/>
    <col min="10487" max="10487" width="4.85546875" style="97" customWidth="1"/>
    <col min="10488" max="10488" width="53" style="97" customWidth="1"/>
    <col min="10489" max="10490" width="13.7109375" style="97" customWidth="1"/>
    <col min="10491" max="10492" width="9.140625" style="97"/>
    <col min="10493" max="10493" width="10" style="97" bestFit="1" customWidth="1"/>
    <col min="10494" max="10494" width="10.140625" style="97" customWidth="1"/>
    <col min="10495" max="10496" width="9.140625" style="97"/>
    <col min="10497" max="10497" width="10.28515625" style="97" bestFit="1" customWidth="1"/>
    <col min="10498" max="10498" width="11.140625" style="97" bestFit="1" customWidth="1"/>
    <col min="10499" max="10499" width="10.5703125" style="97" bestFit="1" customWidth="1"/>
    <col min="10500" max="10500" width="11.28515625" style="97" bestFit="1" customWidth="1"/>
    <col min="10501" max="10741" width="9.140625" style="97"/>
    <col min="10742" max="10742" width="9.85546875" style="97" customWidth="1"/>
    <col min="10743" max="10743" width="4.85546875" style="97" customWidth="1"/>
    <col min="10744" max="10744" width="53" style="97" customWidth="1"/>
    <col min="10745" max="10746" width="13.7109375" style="97" customWidth="1"/>
    <col min="10747" max="10748" width="9.140625" style="97"/>
    <col min="10749" max="10749" width="10" style="97" bestFit="1" customWidth="1"/>
    <col min="10750" max="10750" width="10.140625" style="97" customWidth="1"/>
    <col min="10751" max="10752" width="9.140625" style="97"/>
    <col min="10753" max="10753" width="10.28515625" style="97" bestFit="1" customWidth="1"/>
    <col min="10754" max="10754" width="11.140625" style="97" bestFit="1" customWidth="1"/>
    <col min="10755" max="10755" width="10.5703125" style="97" bestFit="1" customWidth="1"/>
    <col min="10756" max="10756" width="11.28515625" style="97" bestFit="1" customWidth="1"/>
    <col min="10757" max="10997" width="9.140625" style="97"/>
    <col min="10998" max="10998" width="9.85546875" style="97" customWidth="1"/>
    <col min="10999" max="10999" width="4.85546875" style="97" customWidth="1"/>
    <col min="11000" max="11000" width="53" style="97" customWidth="1"/>
    <col min="11001" max="11002" width="13.7109375" style="97" customWidth="1"/>
    <col min="11003" max="11004" width="9.140625" style="97"/>
    <col min="11005" max="11005" width="10" style="97" bestFit="1" customWidth="1"/>
    <col min="11006" max="11006" width="10.140625" style="97" customWidth="1"/>
    <col min="11007" max="11008" width="9.140625" style="97"/>
    <col min="11009" max="11009" width="10.28515625" style="97" bestFit="1" customWidth="1"/>
    <col min="11010" max="11010" width="11.140625" style="97" bestFit="1" customWidth="1"/>
    <col min="11011" max="11011" width="10.5703125" style="97" bestFit="1" customWidth="1"/>
    <col min="11012" max="11012" width="11.28515625" style="97" bestFit="1" customWidth="1"/>
    <col min="11013" max="11253" width="9.140625" style="97"/>
    <col min="11254" max="11254" width="9.85546875" style="97" customWidth="1"/>
    <col min="11255" max="11255" width="4.85546875" style="97" customWidth="1"/>
    <col min="11256" max="11256" width="53" style="97" customWidth="1"/>
    <col min="11257" max="11258" width="13.7109375" style="97" customWidth="1"/>
    <col min="11259" max="11260" width="9.140625" style="97"/>
    <col min="11261" max="11261" width="10" style="97" bestFit="1" customWidth="1"/>
    <col min="11262" max="11262" width="10.140625" style="97" customWidth="1"/>
    <col min="11263" max="11264" width="9.140625" style="97"/>
    <col min="11265" max="11265" width="10.28515625" style="97" bestFit="1" customWidth="1"/>
    <col min="11266" max="11266" width="11.140625" style="97" bestFit="1" customWidth="1"/>
    <col min="11267" max="11267" width="10.5703125" style="97" bestFit="1" customWidth="1"/>
    <col min="11268" max="11268" width="11.28515625" style="97" bestFit="1" customWidth="1"/>
    <col min="11269" max="11509" width="9.140625" style="97"/>
    <col min="11510" max="11510" width="9.85546875" style="97" customWidth="1"/>
    <col min="11511" max="11511" width="4.85546875" style="97" customWidth="1"/>
    <col min="11512" max="11512" width="53" style="97" customWidth="1"/>
    <col min="11513" max="11514" width="13.7109375" style="97" customWidth="1"/>
    <col min="11515" max="11516" width="9.140625" style="97"/>
    <col min="11517" max="11517" width="10" style="97" bestFit="1" customWidth="1"/>
    <col min="11518" max="11518" width="10.140625" style="97" customWidth="1"/>
    <col min="11519" max="11520" width="9.140625" style="97"/>
    <col min="11521" max="11521" width="10.28515625" style="97" bestFit="1" customWidth="1"/>
    <col min="11522" max="11522" width="11.140625" style="97" bestFit="1" customWidth="1"/>
    <col min="11523" max="11523" width="10.5703125" style="97" bestFit="1" customWidth="1"/>
    <col min="11524" max="11524" width="11.28515625" style="97" bestFit="1" customWidth="1"/>
    <col min="11525" max="11765" width="9.140625" style="97"/>
    <col min="11766" max="11766" width="9.85546875" style="97" customWidth="1"/>
    <col min="11767" max="11767" width="4.85546875" style="97" customWidth="1"/>
    <col min="11768" max="11768" width="53" style="97" customWidth="1"/>
    <col min="11769" max="11770" width="13.7109375" style="97" customWidth="1"/>
    <col min="11771" max="11772" width="9.140625" style="97"/>
    <col min="11773" max="11773" width="10" style="97" bestFit="1" customWidth="1"/>
    <col min="11774" max="11774" width="10.140625" style="97" customWidth="1"/>
    <col min="11775" max="11776" width="9.140625" style="97"/>
    <col min="11777" max="11777" width="10.28515625" style="97" bestFit="1" customWidth="1"/>
    <col min="11778" max="11778" width="11.140625" style="97" bestFit="1" customWidth="1"/>
    <col min="11779" max="11779" width="10.5703125" style="97" bestFit="1" customWidth="1"/>
    <col min="11780" max="11780" width="11.28515625" style="97" bestFit="1" customWidth="1"/>
    <col min="11781" max="12021" width="9.140625" style="97"/>
    <col min="12022" max="12022" width="9.85546875" style="97" customWidth="1"/>
    <col min="12023" max="12023" width="4.85546875" style="97" customWidth="1"/>
    <col min="12024" max="12024" width="53" style="97" customWidth="1"/>
    <col min="12025" max="12026" width="13.7109375" style="97" customWidth="1"/>
    <col min="12027" max="12028" width="9.140625" style="97"/>
    <col min="12029" max="12029" width="10" style="97" bestFit="1" customWidth="1"/>
    <col min="12030" max="12030" width="10.140625" style="97" customWidth="1"/>
    <col min="12031" max="12032" width="9.140625" style="97"/>
    <col min="12033" max="12033" width="10.28515625" style="97" bestFit="1" customWidth="1"/>
    <col min="12034" max="12034" width="11.140625" style="97" bestFit="1" customWidth="1"/>
    <col min="12035" max="12035" width="10.5703125" style="97" bestFit="1" customWidth="1"/>
    <col min="12036" max="12036" width="11.28515625" style="97" bestFit="1" customWidth="1"/>
    <col min="12037" max="12277" width="9.140625" style="97"/>
    <col min="12278" max="12278" width="9.85546875" style="97" customWidth="1"/>
    <col min="12279" max="12279" width="4.85546875" style="97" customWidth="1"/>
    <col min="12280" max="12280" width="53" style="97" customWidth="1"/>
    <col min="12281" max="12282" width="13.7109375" style="97" customWidth="1"/>
    <col min="12283" max="12284" width="9.140625" style="97"/>
    <col min="12285" max="12285" width="10" style="97" bestFit="1" customWidth="1"/>
    <col min="12286" max="12286" width="10.140625" style="97" customWidth="1"/>
    <col min="12287" max="12288" width="9.140625" style="97"/>
    <col min="12289" max="12289" width="10.28515625" style="97" bestFit="1" customWidth="1"/>
    <col min="12290" max="12290" width="11.140625" style="97" bestFit="1" customWidth="1"/>
    <col min="12291" max="12291" width="10.5703125" style="97" bestFit="1" customWidth="1"/>
    <col min="12292" max="12292" width="11.28515625" style="97" bestFit="1" customWidth="1"/>
    <col min="12293" max="12533" width="9.140625" style="97"/>
    <col min="12534" max="12534" width="9.85546875" style="97" customWidth="1"/>
    <col min="12535" max="12535" width="4.85546875" style="97" customWidth="1"/>
    <col min="12536" max="12536" width="53" style="97" customWidth="1"/>
    <col min="12537" max="12538" width="13.7109375" style="97" customWidth="1"/>
    <col min="12539" max="12540" width="9.140625" style="97"/>
    <col min="12541" max="12541" width="10" style="97" bestFit="1" customWidth="1"/>
    <col min="12542" max="12542" width="10.140625" style="97" customWidth="1"/>
    <col min="12543" max="12544" width="9.140625" style="97"/>
    <col min="12545" max="12545" width="10.28515625" style="97" bestFit="1" customWidth="1"/>
    <col min="12546" max="12546" width="11.140625" style="97" bestFit="1" customWidth="1"/>
    <col min="12547" max="12547" width="10.5703125" style="97" bestFit="1" customWidth="1"/>
    <col min="12548" max="12548" width="11.28515625" style="97" bestFit="1" customWidth="1"/>
    <col min="12549" max="12789" width="9.140625" style="97"/>
    <col min="12790" max="12790" width="9.85546875" style="97" customWidth="1"/>
    <col min="12791" max="12791" width="4.85546875" style="97" customWidth="1"/>
    <col min="12792" max="12792" width="53" style="97" customWidth="1"/>
    <col min="12793" max="12794" width="13.7109375" style="97" customWidth="1"/>
    <col min="12795" max="12796" width="9.140625" style="97"/>
    <col min="12797" max="12797" width="10" style="97" bestFit="1" customWidth="1"/>
    <col min="12798" max="12798" width="10.140625" style="97" customWidth="1"/>
    <col min="12799" max="12800" width="9.140625" style="97"/>
    <col min="12801" max="12801" width="10.28515625" style="97" bestFit="1" customWidth="1"/>
    <col min="12802" max="12802" width="11.140625" style="97" bestFit="1" customWidth="1"/>
    <col min="12803" max="12803" width="10.5703125" style="97" bestFit="1" customWidth="1"/>
    <col min="12804" max="12804" width="11.28515625" style="97" bestFit="1" customWidth="1"/>
    <col min="12805" max="13045" width="9.140625" style="97"/>
    <col min="13046" max="13046" width="9.85546875" style="97" customWidth="1"/>
    <col min="13047" max="13047" width="4.85546875" style="97" customWidth="1"/>
    <col min="13048" max="13048" width="53" style="97" customWidth="1"/>
    <col min="13049" max="13050" width="13.7109375" style="97" customWidth="1"/>
    <col min="13051" max="13052" width="9.140625" style="97"/>
    <col min="13053" max="13053" width="10" style="97" bestFit="1" customWidth="1"/>
    <col min="13054" max="13054" width="10.140625" style="97" customWidth="1"/>
    <col min="13055" max="13056" width="9.140625" style="97"/>
    <col min="13057" max="13057" width="10.28515625" style="97" bestFit="1" customWidth="1"/>
    <col min="13058" max="13058" width="11.140625" style="97" bestFit="1" customWidth="1"/>
    <col min="13059" max="13059" width="10.5703125" style="97" bestFit="1" customWidth="1"/>
    <col min="13060" max="13060" width="11.28515625" style="97" bestFit="1" customWidth="1"/>
    <col min="13061" max="13301" width="9.140625" style="97"/>
    <col min="13302" max="13302" width="9.85546875" style="97" customWidth="1"/>
    <col min="13303" max="13303" width="4.85546875" style="97" customWidth="1"/>
    <col min="13304" max="13304" width="53" style="97" customWidth="1"/>
    <col min="13305" max="13306" width="13.7109375" style="97" customWidth="1"/>
    <col min="13307" max="13308" width="9.140625" style="97"/>
    <col min="13309" max="13309" width="10" style="97" bestFit="1" customWidth="1"/>
    <col min="13310" max="13310" width="10.140625" style="97" customWidth="1"/>
    <col min="13311" max="13312" width="9.140625" style="97"/>
    <col min="13313" max="13313" width="10.28515625" style="97" bestFit="1" customWidth="1"/>
    <col min="13314" max="13314" width="11.140625" style="97" bestFit="1" customWidth="1"/>
    <col min="13315" max="13315" width="10.5703125" style="97" bestFit="1" customWidth="1"/>
    <col min="13316" max="13316" width="11.28515625" style="97" bestFit="1" customWidth="1"/>
    <col min="13317" max="13557" width="9.140625" style="97"/>
    <col min="13558" max="13558" width="9.85546875" style="97" customWidth="1"/>
    <col min="13559" max="13559" width="4.85546875" style="97" customWidth="1"/>
    <col min="13560" max="13560" width="53" style="97" customWidth="1"/>
    <col min="13561" max="13562" width="13.7109375" style="97" customWidth="1"/>
    <col min="13563" max="13564" width="9.140625" style="97"/>
    <col min="13565" max="13565" width="10" style="97" bestFit="1" customWidth="1"/>
    <col min="13566" max="13566" width="10.140625" style="97" customWidth="1"/>
    <col min="13567" max="13568" width="9.140625" style="97"/>
    <col min="13569" max="13569" width="10.28515625" style="97" bestFit="1" customWidth="1"/>
    <col min="13570" max="13570" width="11.140625" style="97" bestFit="1" customWidth="1"/>
    <col min="13571" max="13571" width="10.5703125" style="97" bestFit="1" customWidth="1"/>
    <col min="13572" max="13572" width="11.28515625" style="97" bestFit="1" customWidth="1"/>
    <col min="13573" max="13813" width="9.140625" style="97"/>
    <col min="13814" max="13814" width="9.85546875" style="97" customWidth="1"/>
    <col min="13815" max="13815" width="4.85546875" style="97" customWidth="1"/>
    <col min="13816" max="13816" width="53" style="97" customWidth="1"/>
    <col min="13817" max="13818" width="13.7109375" style="97" customWidth="1"/>
    <col min="13819" max="13820" width="9.140625" style="97"/>
    <col min="13821" max="13821" width="10" style="97" bestFit="1" customWidth="1"/>
    <col min="13822" max="13822" width="10.140625" style="97" customWidth="1"/>
    <col min="13823" max="13824" width="9.140625" style="97"/>
    <col min="13825" max="13825" width="10.28515625" style="97" bestFit="1" customWidth="1"/>
    <col min="13826" max="13826" width="11.140625" style="97" bestFit="1" customWidth="1"/>
    <col min="13827" max="13827" width="10.5703125" style="97" bestFit="1" customWidth="1"/>
    <col min="13828" max="13828" width="11.28515625" style="97" bestFit="1" customWidth="1"/>
    <col min="13829" max="14069" width="9.140625" style="97"/>
    <col min="14070" max="14070" width="9.85546875" style="97" customWidth="1"/>
    <col min="14071" max="14071" width="4.85546875" style="97" customWidth="1"/>
    <col min="14072" max="14072" width="53" style="97" customWidth="1"/>
    <col min="14073" max="14074" width="13.7109375" style="97" customWidth="1"/>
    <col min="14075" max="14076" width="9.140625" style="97"/>
    <col min="14077" max="14077" width="10" style="97" bestFit="1" customWidth="1"/>
    <col min="14078" max="14078" width="10.140625" style="97" customWidth="1"/>
    <col min="14079" max="14080" width="9.140625" style="97"/>
    <col min="14081" max="14081" width="10.28515625" style="97" bestFit="1" customWidth="1"/>
    <col min="14082" max="14082" width="11.140625" style="97" bestFit="1" customWidth="1"/>
    <col min="14083" max="14083" width="10.5703125" style="97" bestFit="1" customWidth="1"/>
    <col min="14084" max="14084" width="11.28515625" style="97" bestFit="1" customWidth="1"/>
    <col min="14085" max="14325" width="9.140625" style="97"/>
    <col min="14326" max="14326" width="9.85546875" style="97" customWidth="1"/>
    <col min="14327" max="14327" width="4.85546875" style="97" customWidth="1"/>
    <col min="14328" max="14328" width="53" style="97" customWidth="1"/>
    <col min="14329" max="14330" width="13.7109375" style="97" customWidth="1"/>
    <col min="14331" max="14332" width="9.140625" style="97"/>
    <col min="14333" max="14333" width="10" style="97" bestFit="1" customWidth="1"/>
    <col min="14334" max="14334" width="10.140625" style="97" customWidth="1"/>
    <col min="14335" max="14336" width="9.140625" style="97"/>
    <col min="14337" max="14337" width="10.28515625" style="97" bestFit="1" customWidth="1"/>
    <col min="14338" max="14338" width="11.140625" style="97" bestFit="1" customWidth="1"/>
    <col min="14339" max="14339" width="10.5703125" style="97" bestFit="1" customWidth="1"/>
    <col min="14340" max="14340" width="11.28515625" style="97" bestFit="1" customWidth="1"/>
    <col min="14341" max="14581" width="9.140625" style="97"/>
    <col min="14582" max="14582" width="9.85546875" style="97" customWidth="1"/>
    <col min="14583" max="14583" width="4.85546875" style="97" customWidth="1"/>
    <col min="14584" max="14584" width="53" style="97" customWidth="1"/>
    <col min="14585" max="14586" width="13.7109375" style="97" customWidth="1"/>
    <col min="14587" max="14588" width="9.140625" style="97"/>
    <col min="14589" max="14589" width="10" style="97" bestFit="1" customWidth="1"/>
    <col min="14590" max="14590" width="10.140625" style="97" customWidth="1"/>
    <col min="14591" max="14592" width="9.140625" style="97"/>
    <col min="14593" max="14593" width="10.28515625" style="97" bestFit="1" customWidth="1"/>
    <col min="14594" max="14594" width="11.140625" style="97" bestFit="1" customWidth="1"/>
    <col min="14595" max="14595" width="10.5703125" style="97" bestFit="1" customWidth="1"/>
    <col min="14596" max="14596" width="11.28515625" style="97" bestFit="1" customWidth="1"/>
    <col min="14597" max="14837" width="9.140625" style="97"/>
    <col min="14838" max="14838" width="9.85546875" style="97" customWidth="1"/>
    <col min="14839" max="14839" width="4.85546875" style="97" customWidth="1"/>
    <col min="14840" max="14840" width="53" style="97" customWidth="1"/>
    <col min="14841" max="14842" width="13.7109375" style="97" customWidth="1"/>
    <col min="14843" max="14844" width="9.140625" style="97"/>
    <col min="14845" max="14845" width="10" style="97" bestFit="1" customWidth="1"/>
    <col min="14846" max="14846" width="10.140625" style="97" customWidth="1"/>
    <col min="14847" max="14848" width="9.140625" style="97"/>
    <col min="14849" max="14849" width="10.28515625" style="97" bestFit="1" customWidth="1"/>
    <col min="14850" max="14850" width="11.140625" style="97" bestFit="1" customWidth="1"/>
    <col min="14851" max="14851" width="10.5703125" style="97" bestFit="1" customWidth="1"/>
    <col min="14852" max="14852" width="11.28515625" style="97" bestFit="1" customWidth="1"/>
    <col min="14853" max="15093" width="9.140625" style="97"/>
    <col min="15094" max="15094" width="9.85546875" style="97" customWidth="1"/>
    <col min="15095" max="15095" width="4.85546875" style="97" customWidth="1"/>
    <col min="15096" max="15096" width="53" style="97" customWidth="1"/>
    <col min="15097" max="15098" width="13.7109375" style="97" customWidth="1"/>
    <col min="15099" max="15100" width="9.140625" style="97"/>
    <col min="15101" max="15101" width="10" style="97" bestFit="1" customWidth="1"/>
    <col min="15102" max="15102" width="10.140625" style="97" customWidth="1"/>
    <col min="15103" max="15104" width="9.140625" style="97"/>
    <col min="15105" max="15105" width="10.28515625" style="97" bestFit="1" customWidth="1"/>
    <col min="15106" max="15106" width="11.140625" style="97" bestFit="1" customWidth="1"/>
    <col min="15107" max="15107" width="10.5703125" style="97" bestFit="1" customWidth="1"/>
    <col min="15108" max="15108" width="11.28515625" style="97" bestFit="1" customWidth="1"/>
    <col min="15109" max="15349" width="9.140625" style="97"/>
    <col min="15350" max="15350" width="9.85546875" style="97" customWidth="1"/>
    <col min="15351" max="15351" width="4.85546875" style="97" customWidth="1"/>
    <col min="15352" max="15352" width="53" style="97" customWidth="1"/>
    <col min="15353" max="15354" width="13.7109375" style="97" customWidth="1"/>
    <col min="15355" max="15356" width="9.140625" style="97"/>
    <col min="15357" max="15357" width="10" style="97" bestFit="1" customWidth="1"/>
    <col min="15358" max="15358" width="10.140625" style="97" customWidth="1"/>
    <col min="15359" max="15360" width="9.140625" style="97"/>
    <col min="15361" max="15361" width="10.28515625" style="97" bestFit="1" customWidth="1"/>
    <col min="15362" max="15362" width="11.140625" style="97" bestFit="1" customWidth="1"/>
    <col min="15363" max="15363" width="10.5703125" style="97" bestFit="1" customWidth="1"/>
    <col min="15364" max="15364" width="11.28515625" style="97" bestFit="1" customWidth="1"/>
    <col min="15365" max="15605" width="9.140625" style="97"/>
    <col min="15606" max="15606" width="9.85546875" style="97" customWidth="1"/>
    <col min="15607" max="15607" width="4.85546875" style="97" customWidth="1"/>
    <col min="15608" max="15608" width="53" style="97" customWidth="1"/>
    <col min="15609" max="15610" width="13.7109375" style="97" customWidth="1"/>
    <col min="15611" max="15612" width="9.140625" style="97"/>
    <col min="15613" max="15613" width="10" style="97" bestFit="1" customWidth="1"/>
    <col min="15614" max="15614" width="10.140625" style="97" customWidth="1"/>
    <col min="15615" max="15616" width="9.140625" style="97"/>
    <col min="15617" max="15617" width="10.28515625" style="97" bestFit="1" customWidth="1"/>
    <col min="15618" max="15618" width="11.140625" style="97" bestFit="1" customWidth="1"/>
    <col min="15619" max="15619" width="10.5703125" style="97" bestFit="1" customWidth="1"/>
    <col min="15620" max="15620" width="11.28515625" style="97" bestFit="1" customWidth="1"/>
    <col min="15621" max="15861" width="9.140625" style="97"/>
    <col min="15862" max="15862" width="9.85546875" style="97" customWidth="1"/>
    <col min="15863" max="15863" width="4.85546875" style="97" customWidth="1"/>
    <col min="15864" max="15864" width="53" style="97" customWidth="1"/>
    <col min="15865" max="15866" width="13.7109375" style="97" customWidth="1"/>
    <col min="15867" max="15868" width="9.140625" style="97"/>
    <col min="15869" max="15869" width="10" style="97" bestFit="1" customWidth="1"/>
    <col min="15870" max="15870" width="10.140625" style="97" customWidth="1"/>
    <col min="15871" max="15872" width="9.140625" style="97"/>
    <col min="15873" max="15873" width="10.28515625" style="97" bestFit="1" customWidth="1"/>
    <col min="15874" max="15874" width="11.140625" style="97" bestFit="1" customWidth="1"/>
    <col min="15875" max="15875" width="10.5703125" style="97" bestFit="1" customWidth="1"/>
    <col min="15876" max="15876" width="11.28515625" style="97" bestFit="1" customWidth="1"/>
    <col min="15877" max="16117" width="9.140625" style="97"/>
    <col min="16118" max="16118" width="9.85546875" style="97" customWidth="1"/>
    <col min="16119" max="16119" width="4.85546875" style="97" customWidth="1"/>
    <col min="16120" max="16120" width="53" style="97" customWidth="1"/>
    <col min="16121" max="16122" width="13.7109375" style="97" customWidth="1"/>
    <col min="16123" max="16124" width="9.140625" style="97"/>
    <col min="16125" max="16125" width="10" style="97" bestFit="1" customWidth="1"/>
    <col min="16126" max="16126" width="10.140625" style="97" customWidth="1"/>
    <col min="16127" max="16128" width="9.140625" style="97"/>
    <col min="16129" max="16129" width="10.28515625" style="97" bestFit="1" customWidth="1"/>
    <col min="16130" max="16130" width="11.140625" style="97" bestFit="1" customWidth="1"/>
    <col min="16131" max="16131" width="10.5703125" style="97" bestFit="1" customWidth="1"/>
    <col min="16132" max="16132" width="11.28515625" style="97" bestFit="1" customWidth="1"/>
    <col min="16133" max="16384" width="9.140625" style="97"/>
  </cols>
  <sheetData>
    <row r="1" spans="1:9" ht="15" customHeight="1" thickBot="1">
      <c r="A1" s="93" t="s">
        <v>237</v>
      </c>
      <c r="B1" s="94"/>
      <c r="C1" s="95"/>
      <c r="D1" s="96"/>
      <c r="E1" s="96"/>
    </row>
    <row r="2" spans="1:9" ht="15" customHeight="1" thickBot="1">
      <c r="A2" s="263" t="s">
        <v>238</v>
      </c>
      <c r="B2" s="264"/>
      <c r="C2" s="264"/>
      <c r="D2" s="264"/>
      <c r="E2" s="264"/>
      <c r="F2" s="264"/>
    </row>
    <row r="3" spans="1:9" ht="16.5" customHeight="1">
      <c r="A3" s="98"/>
      <c r="B3" s="99" t="s">
        <v>239</v>
      </c>
      <c r="C3" s="100">
        <v>42004</v>
      </c>
      <c r="D3" s="265" t="s">
        <v>240</v>
      </c>
      <c r="E3" s="267" t="s">
        <v>241</v>
      </c>
      <c r="F3" s="269" t="s">
        <v>221</v>
      </c>
      <c r="G3" s="101">
        <v>2013</v>
      </c>
      <c r="H3" s="257" t="s">
        <v>242</v>
      </c>
      <c r="I3" s="258"/>
    </row>
    <row r="4" spans="1:9" ht="15" customHeight="1">
      <c r="A4" s="102" t="s">
        <v>243</v>
      </c>
      <c r="B4" s="103"/>
      <c r="C4" s="104" t="s">
        <v>244</v>
      </c>
      <c r="D4" s="266"/>
      <c r="E4" s="268"/>
      <c r="F4" s="270"/>
      <c r="G4" s="105" t="s">
        <v>245</v>
      </c>
      <c r="H4" s="106" t="s">
        <v>246</v>
      </c>
      <c r="I4" s="107" t="s">
        <v>221</v>
      </c>
    </row>
    <row r="5" spans="1:9" ht="15" customHeight="1" thickBot="1">
      <c r="A5" s="108"/>
      <c r="B5" s="109" t="s">
        <v>247</v>
      </c>
      <c r="C5" s="110"/>
      <c r="D5" s="111">
        <f>D6+D12+D13+D17</f>
        <v>107839346.94</v>
      </c>
      <c r="E5" s="112">
        <f>E6+E12+E13+E17</f>
        <v>109287792.52999999</v>
      </c>
      <c r="F5" s="113">
        <f t="shared" ref="F5:F28" si="0">E5/D5</f>
        <v>1.0134315129968829</v>
      </c>
      <c r="G5" s="112">
        <v>103558116.23</v>
      </c>
      <c r="H5" s="112">
        <f>E5-G5</f>
        <v>5729676.2999999821</v>
      </c>
      <c r="I5" s="114">
        <f>H5/G5</f>
        <v>5.532812403882003E-2</v>
      </c>
    </row>
    <row r="6" spans="1:9">
      <c r="A6" s="115">
        <v>30</v>
      </c>
      <c r="B6" s="116" t="s">
        <v>248</v>
      </c>
      <c r="C6" s="117"/>
      <c r="D6" s="118">
        <f>SUM(D7:D11)</f>
        <v>58047437</v>
      </c>
      <c r="E6" s="119">
        <f>SUM(E7:E11)</f>
        <v>58995245.019999996</v>
      </c>
      <c r="F6" s="120">
        <f t="shared" si="0"/>
        <v>1.0163281631194154</v>
      </c>
      <c r="G6" s="119">
        <v>54638167.969999999</v>
      </c>
      <c r="H6" s="119">
        <f>E6-G6</f>
        <v>4357077.049999997</v>
      </c>
      <c r="I6" s="121">
        <f t="shared" ref="I6:I69" si="1">H6/G6</f>
        <v>7.9744201020655076E-2</v>
      </c>
    </row>
    <row r="7" spans="1:9">
      <c r="A7" s="122">
        <v>3000</v>
      </c>
      <c r="B7" s="123"/>
      <c r="C7" s="124" t="s">
        <v>249</v>
      </c>
      <c r="D7" s="125">
        <v>56537337</v>
      </c>
      <c r="E7" s="125">
        <v>57399923</v>
      </c>
      <c r="F7" s="126">
        <f t="shared" si="0"/>
        <v>1.0152569265864078</v>
      </c>
      <c r="G7" s="125">
        <v>53122570</v>
      </c>
      <c r="H7" s="125">
        <f t="shared" ref="H7:H70" si="2">E7-G7</f>
        <v>4277353</v>
      </c>
      <c r="I7" s="127">
        <f t="shared" si="1"/>
        <v>8.0518563013799976E-2</v>
      </c>
    </row>
    <row r="8" spans="1:9">
      <c r="A8" s="122">
        <v>3030</v>
      </c>
      <c r="B8" s="123"/>
      <c r="C8" s="124" t="s">
        <v>250</v>
      </c>
      <c r="D8" s="125">
        <v>690100</v>
      </c>
      <c r="E8" s="125">
        <v>696150</v>
      </c>
      <c r="F8" s="126">
        <f t="shared" si="0"/>
        <v>1.0087668453847269</v>
      </c>
      <c r="G8" s="125">
        <v>700428</v>
      </c>
      <c r="H8" s="125">
        <f t="shared" si="2"/>
        <v>-4278</v>
      </c>
      <c r="I8" s="127">
        <f t="shared" si="1"/>
        <v>-6.1076941527180521E-3</v>
      </c>
    </row>
    <row r="9" spans="1:9">
      <c r="A9" s="122">
        <v>3044</v>
      </c>
      <c r="B9" s="123"/>
      <c r="C9" s="124" t="s">
        <v>251</v>
      </c>
      <c r="D9" s="125">
        <v>300000</v>
      </c>
      <c r="E9" s="125">
        <v>308931.73</v>
      </c>
      <c r="F9" s="126">
        <f t="shared" si="0"/>
        <v>1.0297724333333333</v>
      </c>
      <c r="G9" s="125">
        <v>314919.27</v>
      </c>
      <c r="H9" s="125">
        <f t="shared" si="2"/>
        <v>-5987.5400000000373</v>
      </c>
      <c r="I9" s="127">
        <f t="shared" si="1"/>
        <v>-1.9012936236007524E-2</v>
      </c>
    </row>
    <row r="10" spans="1:9">
      <c r="A10" s="122">
        <v>3045</v>
      </c>
      <c r="B10" s="123"/>
      <c r="C10" s="124" t="s">
        <v>252</v>
      </c>
      <c r="D10" s="125">
        <v>70000</v>
      </c>
      <c r="E10" s="125">
        <v>136710.01</v>
      </c>
      <c r="F10" s="126">
        <f t="shared" si="0"/>
        <v>1.9530001428571431</v>
      </c>
      <c r="G10" s="125">
        <v>91895.039999999994</v>
      </c>
      <c r="H10" s="125">
        <f t="shared" si="2"/>
        <v>44814.970000000016</v>
      </c>
      <c r="I10" s="127">
        <f t="shared" si="1"/>
        <v>0.48767561339545656</v>
      </c>
    </row>
    <row r="11" spans="1:9">
      <c r="A11" s="122">
        <v>3047</v>
      </c>
      <c r="B11" s="123"/>
      <c r="C11" s="128" t="s">
        <v>253</v>
      </c>
      <c r="D11" s="125">
        <v>450000</v>
      </c>
      <c r="E11" s="125">
        <v>453530.27999999997</v>
      </c>
      <c r="F11" s="126">
        <f t="shared" si="0"/>
        <v>1.0078450666666665</v>
      </c>
      <c r="G11" s="125">
        <v>408355.66</v>
      </c>
      <c r="H11" s="125">
        <f t="shared" si="2"/>
        <v>45174.619999999995</v>
      </c>
      <c r="I11" s="127">
        <f t="shared" si="1"/>
        <v>0.11062567370806124</v>
      </c>
    </row>
    <row r="12" spans="1:9">
      <c r="A12" s="129">
        <v>32</v>
      </c>
      <c r="B12" s="130" t="s">
        <v>254</v>
      </c>
      <c r="C12" s="131"/>
      <c r="D12" s="132">
        <v>15177063</v>
      </c>
      <c r="E12" s="132">
        <v>15638694.83</v>
      </c>
      <c r="F12" s="133">
        <f t="shared" si="0"/>
        <v>1.0304164139003706</v>
      </c>
      <c r="G12" s="132">
        <v>14699408.549999999</v>
      </c>
      <c r="H12" s="132">
        <f t="shared" si="2"/>
        <v>939286.28000000119</v>
      </c>
      <c r="I12" s="134">
        <f t="shared" si="1"/>
        <v>6.3899596831057615E-2</v>
      </c>
    </row>
    <row r="13" spans="1:9" s="137" customFormat="1">
      <c r="A13" s="129" t="s">
        <v>255</v>
      </c>
      <c r="B13" s="130" t="s">
        <v>256</v>
      </c>
      <c r="C13" s="131"/>
      <c r="D13" s="132">
        <f>D14+D15+D16</f>
        <v>34203665.939999998</v>
      </c>
      <c r="E13" s="135">
        <f>E14+E15+E16</f>
        <v>34021375.880000003</v>
      </c>
      <c r="F13" s="133">
        <f t="shared" si="0"/>
        <v>0.99467045256728426</v>
      </c>
      <c r="G13" s="135">
        <v>33757463.030000001</v>
      </c>
      <c r="H13" s="135">
        <f t="shared" si="2"/>
        <v>263912.85000000149</v>
      </c>
      <c r="I13" s="136">
        <f t="shared" si="1"/>
        <v>7.8179112501867848E-3</v>
      </c>
    </row>
    <row r="14" spans="1:9" s="137" customFormat="1">
      <c r="A14" s="122" t="s">
        <v>257</v>
      </c>
      <c r="B14" s="123"/>
      <c r="C14" s="124" t="s">
        <v>258</v>
      </c>
      <c r="D14" s="125">
        <v>5004825</v>
      </c>
      <c r="E14" s="125">
        <v>5004825</v>
      </c>
      <c r="F14" s="126">
        <f t="shared" si="0"/>
        <v>1</v>
      </c>
      <c r="G14" s="125">
        <v>4416624</v>
      </c>
      <c r="H14" s="125">
        <f t="shared" si="2"/>
        <v>588201</v>
      </c>
      <c r="I14" s="127">
        <f t="shared" si="1"/>
        <v>0.13317887146381491</v>
      </c>
    </row>
    <row r="15" spans="1:9" s="137" customFormat="1">
      <c r="A15" s="122" t="s">
        <v>259</v>
      </c>
      <c r="B15" s="123"/>
      <c r="C15" s="128" t="s">
        <v>260</v>
      </c>
      <c r="D15" s="125">
        <v>18922600</v>
      </c>
      <c r="E15" s="125">
        <v>18922600</v>
      </c>
      <c r="F15" s="126">
        <f t="shared" si="0"/>
        <v>1</v>
      </c>
      <c r="G15" s="125">
        <v>18943025</v>
      </c>
      <c r="H15" s="125">
        <f t="shared" si="2"/>
        <v>-20425</v>
      </c>
      <c r="I15" s="127">
        <f t="shared" si="1"/>
        <v>-1.0782332811153446E-3</v>
      </c>
    </row>
    <row r="16" spans="1:9" s="137" customFormat="1">
      <c r="A16" s="122" t="s">
        <v>261</v>
      </c>
      <c r="B16" s="123"/>
      <c r="C16" s="128" t="s">
        <v>262</v>
      </c>
      <c r="D16" s="125">
        <v>10276240.939999999</v>
      </c>
      <c r="E16" s="125">
        <v>10093950.880000001</v>
      </c>
      <c r="F16" s="126">
        <f t="shared" si="0"/>
        <v>0.98226101732488191</v>
      </c>
      <c r="G16" s="125">
        <v>10397814.030000001</v>
      </c>
      <c r="H16" s="125">
        <f t="shared" si="2"/>
        <v>-303863.15000000037</v>
      </c>
      <c r="I16" s="127">
        <f t="shared" si="1"/>
        <v>-2.9223753100727494E-2</v>
      </c>
    </row>
    <row r="17" spans="1:9" s="137" customFormat="1">
      <c r="A17" s="129" t="s">
        <v>263</v>
      </c>
      <c r="B17" s="130" t="s">
        <v>264</v>
      </c>
      <c r="C17" s="131"/>
      <c r="D17" s="132">
        <f>SUM(D18:D21)</f>
        <v>411181</v>
      </c>
      <c r="E17" s="135">
        <f>SUM(E18:E21)</f>
        <v>632476.80000000005</v>
      </c>
      <c r="F17" s="133">
        <f t="shared" si="0"/>
        <v>1.53819558783115</v>
      </c>
      <c r="G17" s="135">
        <v>463076.68</v>
      </c>
      <c r="H17" s="135">
        <f t="shared" si="2"/>
        <v>169400.12000000005</v>
      </c>
      <c r="I17" s="136">
        <f t="shared" si="1"/>
        <v>0.36581440464676401</v>
      </c>
    </row>
    <row r="18" spans="1:9" s="137" customFormat="1">
      <c r="A18" s="122" t="s">
        <v>265</v>
      </c>
      <c r="B18" s="123"/>
      <c r="C18" s="124" t="s">
        <v>266</v>
      </c>
      <c r="D18" s="125">
        <v>0</v>
      </c>
      <c r="E18" s="125">
        <v>0</v>
      </c>
      <c r="F18" s="138" t="s">
        <v>267</v>
      </c>
      <c r="G18" s="125">
        <v>0</v>
      </c>
      <c r="H18" s="125">
        <f t="shared" si="2"/>
        <v>0</v>
      </c>
      <c r="I18" s="139" t="s">
        <v>267</v>
      </c>
    </row>
    <row r="19" spans="1:9" s="137" customFormat="1">
      <c r="A19" s="122">
        <v>382540</v>
      </c>
      <c r="B19" s="123"/>
      <c r="C19" s="124" t="s">
        <v>268</v>
      </c>
      <c r="D19" s="125">
        <v>178000</v>
      </c>
      <c r="E19" s="125">
        <v>173093</v>
      </c>
      <c r="F19" s="126">
        <f t="shared" si="0"/>
        <v>0.97243258426966295</v>
      </c>
      <c r="G19" s="125">
        <v>167665</v>
      </c>
      <c r="H19" s="125">
        <f t="shared" si="2"/>
        <v>5428</v>
      </c>
      <c r="I19" s="127">
        <f t="shared" si="1"/>
        <v>3.2374079265201444E-2</v>
      </c>
    </row>
    <row r="20" spans="1:9" s="137" customFormat="1">
      <c r="A20" s="122">
        <v>3882</v>
      </c>
      <c r="B20" s="123"/>
      <c r="C20" s="124" t="s">
        <v>269</v>
      </c>
      <c r="D20" s="125">
        <v>10000</v>
      </c>
      <c r="E20" s="125">
        <v>14312</v>
      </c>
      <c r="F20" s="126">
        <f t="shared" si="0"/>
        <v>1.4312</v>
      </c>
      <c r="G20" s="125">
        <v>67609</v>
      </c>
      <c r="H20" s="125">
        <f t="shared" si="2"/>
        <v>-53297</v>
      </c>
      <c r="I20" s="127">
        <f t="shared" si="1"/>
        <v>-0.78831220695469539</v>
      </c>
    </row>
    <row r="21" spans="1:9" s="137" customFormat="1" ht="13.5" thickBot="1">
      <c r="A21" s="122" t="s">
        <v>270</v>
      </c>
      <c r="B21" s="123"/>
      <c r="C21" s="124" t="s">
        <v>271</v>
      </c>
      <c r="D21" s="125">
        <v>223181</v>
      </c>
      <c r="E21" s="125">
        <v>445071.80000000005</v>
      </c>
      <c r="F21" s="126">
        <f t="shared" si="0"/>
        <v>1.9942190419435348</v>
      </c>
      <c r="G21" s="125">
        <v>227802.68</v>
      </c>
      <c r="H21" s="125">
        <f t="shared" si="2"/>
        <v>217269.12000000005</v>
      </c>
      <c r="I21" s="127">
        <f t="shared" si="1"/>
        <v>0.95376015769436984</v>
      </c>
    </row>
    <row r="22" spans="1:9" s="137" customFormat="1" ht="13.5" thickBot="1">
      <c r="A22" s="108"/>
      <c r="B22" s="109" t="s">
        <v>272</v>
      </c>
      <c r="C22" s="110"/>
      <c r="D22" s="140">
        <f>D23+D24</f>
        <v>-103636641.94</v>
      </c>
      <c r="E22" s="141">
        <f>E23+E24</f>
        <v>-99769390.819999993</v>
      </c>
      <c r="F22" s="142">
        <f t="shared" si="0"/>
        <v>0.96268451922401221</v>
      </c>
      <c r="G22" s="141">
        <v>-94313660.960000008</v>
      </c>
      <c r="H22" s="141">
        <f t="shared" si="2"/>
        <v>-5455729.8599999845</v>
      </c>
      <c r="I22" s="143">
        <f t="shared" si="1"/>
        <v>5.7846655558348545E-2</v>
      </c>
    </row>
    <row r="23" spans="1:9" s="137" customFormat="1" ht="13.5" thickBot="1">
      <c r="A23" s="144" t="s">
        <v>273</v>
      </c>
      <c r="B23" s="145" t="s">
        <v>274</v>
      </c>
      <c r="C23" s="146"/>
      <c r="D23" s="147">
        <v>-13530831</v>
      </c>
      <c r="E23" s="147">
        <v>-12818807.679999998</v>
      </c>
      <c r="F23" s="148">
        <f t="shared" si="0"/>
        <v>0.94737770946958078</v>
      </c>
      <c r="G23" s="147">
        <v>-11492746.400000002</v>
      </c>
      <c r="H23" s="147">
        <f t="shared" si="2"/>
        <v>-1326061.2799999956</v>
      </c>
      <c r="I23" s="149">
        <f t="shared" si="1"/>
        <v>0.11538245375361239</v>
      </c>
    </row>
    <row r="24" spans="1:9">
      <c r="A24" s="129"/>
      <c r="B24" s="130" t="s">
        <v>275</v>
      </c>
      <c r="C24" s="131"/>
      <c r="D24" s="132">
        <f>D25+D27+D28</f>
        <v>-90105810.939999998</v>
      </c>
      <c r="E24" s="135">
        <f>E25+E27+E28</f>
        <v>-86950583.140000001</v>
      </c>
      <c r="F24" s="148">
        <f t="shared" si="0"/>
        <v>0.96498308192241888</v>
      </c>
      <c r="G24" s="135">
        <v>-82820914.560000002</v>
      </c>
      <c r="H24" s="135">
        <f t="shared" si="2"/>
        <v>-4129668.5799999982</v>
      </c>
      <c r="I24" s="136">
        <f t="shared" si="1"/>
        <v>4.9862629529504175E-2</v>
      </c>
    </row>
    <row r="25" spans="1:9">
      <c r="A25" s="122">
        <v>50</v>
      </c>
      <c r="B25" s="123"/>
      <c r="C25" s="124" t="s">
        <v>276</v>
      </c>
      <c r="D25" s="125">
        <v>-48593587.799999997</v>
      </c>
      <c r="E25" s="125">
        <v>-48189910.319999993</v>
      </c>
      <c r="F25" s="126">
        <f t="shared" si="0"/>
        <v>0.99169278297248908</v>
      </c>
      <c r="G25" s="125">
        <v>-44729115.620000005</v>
      </c>
      <c r="H25" s="125">
        <f t="shared" si="2"/>
        <v>-3460794.6999999881</v>
      </c>
      <c r="I25" s="127">
        <f t="shared" si="1"/>
        <v>7.7372303297956149E-2</v>
      </c>
    </row>
    <row r="26" spans="1:9">
      <c r="A26" s="150">
        <v>500</v>
      </c>
      <c r="B26" s="151"/>
      <c r="C26" s="152" t="s">
        <v>277</v>
      </c>
      <c r="D26" s="153">
        <v>-36029111.899999999</v>
      </c>
      <c r="E26" s="153">
        <v>-35755368.159999996</v>
      </c>
      <c r="F26" s="154">
        <f t="shared" si="0"/>
        <v>0.99240215132807641</v>
      </c>
      <c r="G26" s="153">
        <v>-33108807.5</v>
      </c>
      <c r="H26" s="153">
        <f t="shared" si="2"/>
        <v>-2646560.6599999964</v>
      </c>
      <c r="I26" s="155">
        <f t="shared" si="1"/>
        <v>7.9935245629127433E-2</v>
      </c>
    </row>
    <row r="27" spans="1:9">
      <c r="A27" s="122">
        <v>55</v>
      </c>
      <c r="B27" s="123"/>
      <c r="C27" s="124" t="s">
        <v>278</v>
      </c>
      <c r="D27" s="125">
        <v>-41223694.140000001</v>
      </c>
      <c r="E27" s="125">
        <v>-38544048.170000002</v>
      </c>
      <c r="F27" s="126">
        <f t="shared" si="0"/>
        <v>0.93499743228009502</v>
      </c>
      <c r="G27" s="125">
        <v>-37822947.190000005</v>
      </c>
      <c r="H27" s="125">
        <f t="shared" si="2"/>
        <v>-721100.97999999672</v>
      </c>
      <c r="I27" s="127">
        <f t="shared" si="1"/>
        <v>1.906517163714435E-2</v>
      </c>
    </row>
    <row r="28" spans="1:9" s="137" customFormat="1" ht="13.5" thickBot="1">
      <c r="A28" s="156">
        <v>60</v>
      </c>
      <c r="B28" s="157"/>
      <c r="C28" s="158" t="s">
        <v>279</v>
      </c>
      <c r="D28" s="125">
        <v>-288529</v>
      </c>
      <c r="E28" s="125">
        <v>-216624.65</v>
      </c>
      <c r="F28" s="126">
        <f t="shared" si="0"/>
        <v>0.75078986860939456</v>
      </c>
      <c r="G28" s="125">
        <v>-268851.75</v>
      </c>
      <c r="H28" s="125">
        <f t="shared" si="2"/>
        <v>52227.100000000006</v>
      </c>
      <c r="I28" s="127">
        <f t="shared" si="1"/>
        <v>-0.19425984766697635</v>
      </c>
    </row>
    <row r="29" spans="1:9" s="137" customFormat="1" ht="13.5" thickBot="1">
      <c r="A29" s="159"/>
      <c r="B29" s="160" t="s">
        <v>280</v>
      </c>
      <c r="C29" s="161"/>
      <c r="D29" s="162">
        <f>D5+D22</f>
        <v>4202705</v>
      </c>
      <c r="E29" s="162">
        <f>E5+E22</f>
        <v>9518401.7099999934</v>
      </c>
      <c r="F29" s="163"/>
      <c r="G29" s="162">
        <v>9244455.2699999958</v>
      </c>
      <c r="H29" s="162">
        <f t="shared" si="2"/>
        <v>273946.43999999762</v>
      </c>
      <c r="I29" s="164">
        <f t="shared" si="1"/>
        <v>2.9633594624986243E-2</v>
      </c>
    </row>
    <row r="30" spans="1:9" s="137" customFormat="1" ht="13.5" thickBot="1">
      <c r="A30" s="165"/>
      <c r="B30" s="166" t="s">
        <v>281</v>
      </c>
      <c r="C30" s="167"/>
      <c r="D30" s="168">
        <f>D33+D36+D40+D41+D42+D43+D44+D45+D46+D47+D48+D49</f>
        <v>-9650580</v>
      </c>
      <c r="E30" s="169">
        <f>E33+E36+E40+E41+E42+E43+E44+E45+E46+E47+E48+E49</f>
        <v>-7712711.3699999992</v>
      </c>
      <c r="F30" s="170"/>
      <c r="G30" s="169">
        <v>-13204339.619999999</v>
      </c>
      <c r="H30" s="169">
        <f t="shared" si="2"/>
        <v>5491628.25</v>
      </c>
      <c r="I30" s="171">
        <f t="shared" si="1"/>
        <v>-0.41589571368507411</v>
      </c>
    </row>
    <row r="31" spans="1:9" s="137" customFormat="1" ht="19.5" customHeight="1">
      <c r="A31" s="150"/>
      <c r="B31" s="172" t="s">
        <v>282</v>
      </c>
      <c r="C31" s="152"/>
      <c r="D31" s="153">
        <f>D33+D40+D42+D44+D46+D48</f>
        <v>19167197</v>
      </c>
      <c r="E31" s="153">
        <f>E33+E40+E42+E44+E46+E48</f>
        <v>16698808.729999999</v>
      </c>
      <c r="F31" s="154">
        <f t="shared" ref="F31:F39" si="3">E31/D31</f>
        <v>0.87121808838298054</v>
      </c>
      <c r="G31" s="153">
        <v>25679000.18</v>
      </c>
      <c r="H31" s="153">
        <f t="shared" si="2"/>
        <v>-8980191.4500000011</v>
      </c>
      <c r="I31" s="155">
        <f t="shared" si="1"/>
        <v>-0.34970954425999001</v>
      </c>
    </row>
    <row r="32" spans="1:9" s="137" customFormat="1">
      <c r="A32" s="150"/>
      <c r="B32" s="172" t="s">
        <v>283</v>
      </c>
      <c r="C32" s="152"/>
      <c r="D32" s="153">
        <f>D36+D41+D43+D45+D47+D49</f>
        <v>-28817777</v>
      </c>
      <c r="E32" s="153">
        <f>E36+E41+E43+E45+E47+E49</f>
        <v>-24411520.099999998</v>
      </c>
      <c r="F32" s="154">
        <f t="shared" si="3"/>
        <v>0.84709934773941786</v>
      </c>
      <c r="G32" s="153">
        <v>-38883339.800000004</v>
      </c>
      <c r="H32" s="153">
        <f t="shared" si="2"/>
        <v>14471819.700000007</v>
      </c>
      <c r="I32" s="155">
        <f t="shared" si="1"/>
        <v>-0.37218561405571454</v>
      </c>
    </row>
    <row r="33" spans="1:9" s="137" customFormat="1">
      <c r="A33" s="122">
        <v>381</v>
      </c>
      <c r="B33" s="123"/>
      <c r="C33" s="124" t="s">
        <v>284</v>
      </c>
      <c r="D33" s="125">
        <v>363330</v>
      </c>
      <c r="E33" s="125">
        <v>372077.52999999997</v>
      </c>
      <c r="F33" s="126">
        <f t="shared" si="3"/>
        <v>1.0240759915228579</v>
      </c>
      <c r="G33" s="125">
        <v>438019.42000000004</v>
      </c>
      <c r="H33" s="125">
        <f t="shared" si="2"/>
        <v>-65941.890000000072</v>
      </c>
      <c r="I33" s="127">
        <f t="shared" si="1"/>
        <v>-0.15054558539893065</v>
      </c>
    </row>
    <row r="34" spans="1:9" s="137" customFormat="1">
      <c r="A34" s="150">
        <v>3810</v>
      </c>
      <c r="B34" s="151"/>
      <c r="C34" s="152" t="s">
        <v>285</v>
      </c>
      <c r="D34" s="153">
        <v>160000</v>
      </c>
      <c r="E34" s="153">
        <v>132333.32999999999</v>
      </c>
      <c r="F34" s="154">
        <f t="shared" si="3"/>
        <v>0.82708331249999989</v>
      </c>
      <c r="G34" s="153">
        <v>186600</v>
      </c>
      <c r="H34" s="153">
        <f t="shared" si="2"/>
        <v>-54266.670000000013</v>
      </c>
      <c r="I34" s="155">
        <f t="shared" si="1"/>
        <v>-0.29081816720257242</v>
      </c>
    </row>
    <row r="35" spans="1:9" s="137" customFormat="1">
      <c r="A35" s="150">
        <v>3811</v>
      </c>
      <c r="B35" s="151"/>
      <c r="C35" s="152" t="s">
        <v>286</v>
      </c>
      <c r="D35" s="153">
        <v>203330</v>
      </c>
      <c r="E35" s="153">
        <v>239744.2</v>
      </c>
      <c r="F35" s="154">
        <f t="shared" si="3"/>
        <v>1.1790891653961542</v>
      </c>
      <c r="G35" s="153">
        <v>244408.28</v>
      </c>
      <c r="H35" s="153">
        <f t="shared" si="2"/>
        <v>-4664.0799999999872</v>
      </c>
      <c r="I35" s="155">
        <f t="shared" si="1"/>
        <v>-1.9083150538107739E-2</v>
      </c>
    </row>
    <row r="36" spans="1:9" s="137" customFormat="1">
      <c r="A36" s="122">
        <v>15</v>
      </c>
      <c r="B36" s="123"/>
      <c r="C36" s="124" t="s">
        <v>287</v>
      </c>
      <c r="D36" s="125">
        <v>-26674683</v>
      </c>
      <c r="E36" s="125">
        <v>-22356121.449999999</v>
      </c>
      <c r="F36" s="126">
        <f t="shared" si="3"/>
        <v>0.83810261025407495</v>
      </c>
      <c r="G36" s="125">
        <v>-37314062.32</v>
      </c>
      <c r="H36" s="125">
        <f t="shared" si="2"/>
        <v>14957940.870000001</v>
      </c>
      <c r="I36" s="127">
        <f t="shared" si="1"/>
        <v>-0.40086605263513964</v>
      </c>
    </row>
    <row r="37" spans="1:9" s="137" customFormat="1">
      <c r="A37" s="150">
        <v>1550</v>
      </c>
      <c r="B37" s="151"/>
      <c r="C37" s="152" t="s">
        <v>288</v>
      </c>
      <c r="D37" s="153">
        <v>0</v>
      </c>
      <c r="E37" s="153">
        <v>0</v>
      </c>
      <c r="F37" s="154" t="e">
        <f t="shared" si="3"/>
        <v>#DIV/0!</v>
      </c>
      <c r="G37" s="153">
        <v>-323750</v>
      </c>
      <c r="H37" s="153">
        <f t="shared" si="2"/>
        <v>323750</v>
      </c>
      <c r="I37" s="155">
        <f t="shared" si="1"/>
        <v>-1</v>
      </c>
    </row>
    <row r="38" spans="1:9" s="137" customFormat="1">
      <c r="A38" s="150">
        <v>1551</v>
      </c>
      <c r="B38" s="151"/>
      <c r="C38" s="152" t="s">
        <v>289</v>
      </c>
      <c r="D38" s="153">
        <v>-26268401</v>
      </c>
      <c r="E38" s="153">
        <v>-21989609.380000003</v>
      </c>
      <c r="F38" s="154">
        <f t="shared" si="3"/>
        <v>0.83711259699438889</v>
      </c>
      <c r="G38" s="153">
        <v>-36577511.32</v>
      </c>
      <c r="H38" s="153">
        <f t="shared" si="2"/>
        <v>14587901.939999998</v>
      </c>
      <c r="I38" s="155">
        <f t="shared" si="1"/>
        <v>-0.39882160960534146</v>
      </c>
    </row>
    <row r="39" spans="1:9" s="137" customFormat="1">
      <c r="A39" s="150">
        <v>1554</v>
      </c>
      <c r="B39" s="151"/>
      <c r="C39" s="152" t="s">
        <v>290</v>
      </c>
      <c r="D39" s="153">
        <v>-146174</v>
      </c>
      <c r="E39" s="153">
        <v>-134838.97</v>
      </c>
      <c r="F39" s="154">
        <f t="shared" si="3"/>
        <v>0.92245522459534524</v>
      </c>
      <c r="G39" s="153">
        <v>-274677</v>
      </c>
      <c r="H39" s="153">
        <f t="shared" si="2"/>
        <v>139838.03</v>
      </c>
      <c r="I39" s="155">
        <f t="shared" si="1"/>
        <v>-0.50909988823236019</v>
      </c>
    </row>
    <row r="40" spans="1:9" s="137" customFormat="1">
      <c r="A40" s="122">
        <v>3502</v>
      </c>
      <c r="B40" s="123"/>
      <c r="C40" s="124" t="s">
        <v>291</v>
      </c>
      <c r="D40" s="125">
        <v>18460867</v>
      </c>
      <c r="E40" s="125">
        <v>15976697.649999999</v>
      </c>
      <c r="F40" s="126">
        <f>E40/D40</f>
        <v>0.86543593266773433</v>
      </c>
      <c r="G40" s="125">
        <v>24678596.259999998</v>
      </c>
      <c r="H40" s="125">
        <f t="shared" si="2"/>
        <v>-8701898.6099999994</v>
      </c>
      <c r="I40" s="127">
        <f t="shared" si="1"/>
        <v>-0.35260914025747753</v>
      </c>
    </row>
    <row r="41" spans="1:9" s="137" customFormat="1">
      <c r="A41" s="122">
        <v>4502</v>
      </c>
      <c r="B41" s="123"/>
      <c r="C41" s="124" t="s">
        <v>292</v>
      </c>
      <c r="D41" s="125">
        <v>-1228763</v>
      </c>
      <c r="E41" s="125">
        <v>-1172141</v>
      </c>
      <c r="F41" s="126">
        <f t="shared" ref="F41:F49" si="4">E41/D41</f>
        <v>0.95391951092277361</v>
      </c>
      <c r="G41" s="125">
        <v>-768367.78</v>
      </c>
      <c r="H41" s="125">
        <f t="shared" si="2"/>
        <v>-403773.22</v>
      </c>
      <c r="I41" s="127">
        <f t="shared" si="1"/>
        <v>0.52549473118198675</v>
      </c>
    </row>
    <row r="42" spans="1:9" s="137" customFormat="1" ht="12.75" customHeight="1">
      <c r="A42" s="173" t="s">
        <v>293</v>
      </c>
      <c r="B42" s="174"/>
      <c r="C42" s="124" t="s">
        <v>294</v>
      </c>
      <c r="D42" s="125">
        <v>0</v>
      </c>
      <c r="E42" s="125">
        <v>0</v>
      </c>
      <c r="F42" s="126" t="e">
        <f t="shared" si="4"/>
        <v>#DIV/0!</v>
      </c>
      <c r="G42" s="125">
        <v>0</v>
      </c>
      <c r="H42" s="125">
        <f t="shared" si="2"/>
        <v>0</v>
      </c>
      <c r="I42" s="127" t="e">
        <f t="shared" si="1"/>
        <v>#DIV/0!</v>
      </c>
    </row>
    <row r="43" spans="1:9" s="137" customFormat="1" ht="12.75" customHeight="1">
      <c r="A43" s="173" t="s">
        <v>295</v>
      </c>
      <c r="B43" s="174"/>
      <c r="C43" s="124" t="s">
        <v>296</v>
      </c>
      <c r="D43" s="125">
        <v>0</v>
      </c>
      <c r="E43" s="125">
        <v>0</v>
      </c>
      <c r="F43" s="126" t="e">
        <f t="shared" si="4"/>
        <v>#DIV/0!</v>
      </c>
      <c r="G43" s="125">
        <v>0</v>
      </c>
      <c r="H43" s="125">
        <f t="shared" si="2"/>
        <v>0</v>
      </c>
      <c r="I43" s="127" t="e">
        <f t="shared" si="1"/>
        <v>#DIV/0!</v>
      </c>
    </row>
    <row r="44" spans="1:9" s="137" customFormat="1" ht="12.75" customHeight="1">
      <c r="A44" s="173" t="s">
        <v>297</v>
      </c>
      <c r="B44" s="123"/>
      <c r="C44" s="175" t="s">
        <v>298</v>
      </c>
      <c r="D44" s="125">
        <v>0</v>
      </c>
      <c r="E44" s="125">
        <v>0</v>
      </c>
      <c r="F44" s="126" t="e">
        <f t="shared" si="4"/>
        <v>#DIV/0!</v>
      </c>
      <c r="G44" s="125">
        <v>0</v>
      </c>
      <c r="H44" s="125">
        <f t="shared" si="2"/>
        <v>0</v>
      </c>
      <c r="I44" s="127" t="e">
        <f t="shared" si="1"/>
        <v>#DIV/0!</v>
      </c>
    </row>
    <row r="45" spans="1:9" s="137" customFormat="1" ht="12.75" customHeight="1">
      <c r="A45" s="173" t="s">
        <v>299</v>
      </c>
      <c r="B45" s="123"/>
      <c r="C45" s="175" t="s">
        <v>300</v>
      </c>
      <c r="D45" s="125">
        <v>0</v>
      </c>
      <c r="E45" s="125">
        <v>0</v>
      </c>
      <c r="F45" s="126" t="e">
        <f t="shared" si="4"/>
        <v>#DIV/0!</v>
      </c>
      <c r="G45" s="125">
        <v>0</v>
      </c>
      <c r="H45" s="125">
        <f t="shared" si="2"/>
        <v>0</v>
      </c>
      <c r="I45" s="127" t="e">
        <f t="shared" si="1"/>
        <v>#DIV/0!</v>
      </c>
    </row>
    <row r="46" spans="1:9" s="137" customFormat="1" ht="12.75" customHeight="1">
      <c r="A46" s="122" t="s">
        <v>301</v>
      </c>
      <c r="B46" s="123"/>
      <c r="C46" s="175" t="s">
        <v>302</v>
      </c>
      <c r="D46" s="125">
        <v>0</v>
      </c>
      <c r="E46" s="125">
        <v>0</v>
      </c>
      <c r="F46" s="126" t="e">
        <f t="shared" si="4"/>
        <v>#DIV/0!</v>
      </c>
      <c r="G46" s="125">
        <v>0</v>
      </c>
      <c r="H46" s="125">
        <f t="shared" si="2"/>
        <v>0</v>
      </c>
      <c r="I46" s="127" t="e">
        <f t="shared" si="1"/>
        <v>#DIV/0!</v>
      </c>
    </row>
    <row r="47" spans="1:9" s="137" customFormat="1" ht="12.75" customHeight="1">
      <c r="A47" s="122" t="s">
        <v>303</v>
      </c>
      <c r="B47" s="123"/>
      <c r="C47" s="124" t="s">
        <v>304</v>
      </c>
      <c r="D47" s="125">
        <v>0</v>
      </c>
      <c r="E47" s="125">
        <v>0</v>
      </c>
      <c r="F47" s="126" t="e">
        <f t="shared" si="4"/>
        <v>#DIV/0!</v>
      </c>
      <c r="G47" s="125">
        <v>0</v>
      </c>
      <c r="H47" s="125">
        <f t="shared" si="2"/>
        <v>0</v>
      </c>
      <c r="I47" s="127" t="e">
        <f t="shared" si="1"/>
        <v>#DIV/0!</v>
      </c>
    </row>
    <row r="48" spans="1:9" s="137" customFormat="1">
      <c r="A48" s="176">
        <v>382</v>
      </c>
      <c r="B48" s="174"/>
      <c r="C48" s="124" t="s">
        <v>305</v>
      </c>
      <c r="D48" s="125">
        <v>343000</v>
      </c>
      <c r="E48" s="125">
        <v>350033.55</v>
      </c>
      <c r="F48" s="126">
        <f t="shared" si="4"/>
        <v>1.0205059766763849</v>
      </c>
      <c r="G48" s="125">
        <v>562384.5</v>
      </c>
      <c r="H48" s="125">
        <f t="shared" si="2"/>
        <v>-212350.95</v>
      </c>
      <c r="I48" s="127">
        <f t="shared" si="1"/>
        <v>-0.37759033188147967</v>
      </c>
    </row>
    <row r="49" spans="1:9" s="137" customFormat="1" ht="13.5" thickBot="1">
      <c r="A49" s="156">
        <v>65</v>
      </c>
      <c r="B49" s="157"/>
      <c r="C49" s="158" t="s">
        <v>306</v>
      </c>
      <c r="D49" s="125">
        <v>-914331</v>
      </c>
      <c r="E49" s="125">
        <v>-883257.64999999991</v>
      </c>
      <c r="F49" s="126">
        <f t="shared" si="4"/>
        <v>0.96601520674679076</v>
      </c>
      <c r="G49" s="125">
        <v>-800909.7</v>
      </c>
      <c r="H49" s="125">
        <f t="shared" si="2"/>
        <v>-82347.949999999953</v>
      </c>
      <c r="I49" s="127">
        <f t="shared" si="1"/>
        <v>0.10281802055837251</v>
      </c>
    </row>
    <row r="50" spans="1:9" s="137" customFormat="1" ht="13.5" thickBot="1">
      <c r="A50" s="177"/>
      <c r="B50" s="178" t="s">
        <v>307</v>
      </c>
      <c r="C50" s="179"/>
      <c r="D50" s="162">
        <f>D29+D30</f>
        <v>-5447875</v>
      </c>
      <c r="E50" s="180">
        <f>E29+E30</f>
        <v>1805690.3399999943</v>
      </c>
      <c r="F50" s="163"/>
      <c r="G50" s="180">
        <v>-3959884.3500000034</v>
      </c>
      <c r="H50" s="180">
        <f t="shared" si="2"/>
        <v>5765574.6899999976</v>
      </c>
      <c r="I50" s="181">
        <f t="shared" si="1"/>
        <v>-1.4559957262388212</v>
      </c>
    </row>
    <row r="51" spans="1:9" s="137" customFormat="1" ht="13.5" thickBot="1">
      <c r="A51" s="182"/>
      <c r="B51" s="166" t="s">
        <v>308</v>
      </c>
      <c r="C51" s="167"/>
      <c r="D51" s="168">
        <f>D52+D56</f>
        <v>1304191</v>
      </c>
      <c r="E51" s="169">
        <f>E52+E56</f>
        <v>1304491.6899999995</v>
      </c>
      <c r="F51" s="170">
        <f t="shared" ref="F51:F60" si="5">E51/D51</f>
        <v>1.0002305567206027</v>
      </c>
      <c r="G51" s="169">
        <v>3893101.8100000005</v>
      </c>
      <c r="H51" s="169">
        <f t="shared" si="2"/>
        <v>-2588610.120000001</v>
      </c>
      <c r="I51" s="171">
        <f t="shared" si="1"/>
        <v>-0.66492227697482198</v>
      </c>
    </row>
    <row r="52" spans="1:9" s="137" customFormat="1">
      <c r="A52" s="183" t="s">
        <v>309</v>
      </c>
      <c r="B52" s="184"/>
      <c r="C52" s="185" t="s">
        <v>310</v>
      </c>
      <c r="D52" s="186">
        <f>SUM(D53:D55)</f>
        <v>10126451</v>
      </c>
      <c r="E52" s="187">
        <f>SUM(E53:E55)</f>
        <v>10126000</v>
      </c>
      <c r="F52" s="188">
        <f t="shared" si="5"/>
        <v>0.99995546317263573</v>
      </c>
      <c r="G52" s="187">
        <v>19777548</v>
      </c>
      <c r="H52" s="187">
        <f t="shared" si="2"/>
        <v>-9651548</v>
      </c>
      <c r="I52" s="189">
        <f t="shared" si="1"/>
        <v>-0.48800528761199313</v>
      </c>
    </row>
    <row r="53" spans="1:9" s="137" customFormat="1">
      <c r="A53" s="190" t="s">
        <v>311</v>
      </c>
      <c r="B53" s="191"/>
      <c r="C53" s="192" t="s">
        <v>312</v>
      </c>
      <c r="D53" s="153">
        <v>10126451</v>
      </c>
      <c r="E53" s="153">
        <v>10126000</v>
      </c>
      <c r="F53" s="154">
        <f t="shared" si="5"/>
        <v>0.99995546317263573</v>
      </c>
      <c r="G53" s="153">
        <v>19777548</v>
      </c>
      <c r="H53" s="153">
        <f t="shared" si="2"/>
        <v>-9651548</v>
      </c>
      <c r="I53" s="155">
        <f t="shared" si="1"/>
        <v>-0.48800528761199313</v>
      </c>
    </row>
    <row r="54" spans="1:9" s="137" customFormat="1">
      <c r="A54" s="190" t="s">
        <v>313</v>
      </c>
      <c r="B54" s="191"/>
      <c r="C54" s="192" t="s">
        <v>314</v>
      </c>
      <c r="D54" s="153">
        <v>0</v>
      </c>
      <c r="E54" s="153">
        <v>0</v>
      </c>
      <c r="F54" s="193" t="s">
        <v>267</v>
      </c>
      <c r="G54" s="153">
        <v>0</v>
      </c>
      <c r="H54" s="153">
        <f t="shared" si="2"/>
        <v>0</v>
      </c>
      <c r="I54" s="193" t="s">
        <v>267</v>
      </c>
    </row>
    <row r="55" spans="1:9" s="137" customFormat="1">
      <c r="A55" s="190" t="s">
        <v>315</v>
      </c>
      <c r="B55" s="191"/>
      <c r="C55" s="192" t="s">
        <v>316</v>
      </c>
      <c r="D55" s="153">
        <v>0</v>
      </c>
      <c r="E55" s="153">
        <v>0</v>
      </c>
      <c r="F55" s="193" t="s">
        <v>267</v>
      </c>
      <c r="G55" s="153">
        <v>0</v>
      </c>
      <c r="H55" s="153">
        <f t="shared" si="2"/>
        <v>0</v>
      </c>
      <c r="I55" s="193" t="s">
        <v>267</v>
      </c>
    </row>
    <row r="56" spans="1:9" s="137" customFormat="1">
      <c r="A56" s="194" t="s">
        <v>317</v>
      </c>
      <c r="B56" s="195"/>
      <c r="C56" s="185" t="s">
        <v>318</v>
      </c>
      <c r="D56" s="186">
        <f>SUM(D57:D59)</f>
        <v>-8822260</v>
      </c>
      <c r="E56" s="187">
        <f>SUM(E57:E59)</f>
        <v>-8821508.3100000005</v>
      </c>
      <c r="F56" s="188">
        <f t="shared" si="5"/>
        <v>0.99991479620868129</v>
      </c>
      <c r="G56" s="187">
        <v>-15884446.189999999</v>
      </c>
      <c r="H56" s="187">
        <f t="shared" si="2"/>
        <v>7062937.879999999</v>
      </c>
      <c r="I56" s="189">
        <f t="shared" si="1"/>
        <v>-0.44464489321928313</v>
      </c>
    </row>
    <row r="57" spans="1:9" s="137" customFormat="1">
      <c r="A57" s="190" t="s">
        <v>319</v>
      </c>
      <c r="B57" s="191"/>
      <c r="C57" s="192" t="s">
        <v>312</v>
      </c>
      <c r="D57" s="153">
        <v>-8551451</v>
      </c>
      <c r="E57" s="153">
        <v>-8551450.8100000005</v>
      </c>
      <c r="F57" s="154">
        <f t="shared" si="5"/>
        <v>0.99999997778154848</v>
      </c>
      <c r="G57" s="153">
        <v>-15622170.17</v>
      </c>
      <c r="H57" s="153">
        <f t="shared" si="2"/>
        <v>7070719.3599999994</v>
      </c>
      <c r="I57" s="155">
        <f t="shared" si="1"/>
        <v>-0.45260801047848265</v>
      </c>
    </row>
    <row r="58" spans="1:9" s="137" customFormat="1">
      <c r="A58" s="190" t="s">
        <v>320</v>
      </c>
      <c r="B58" s="191"/>
      <c r="C58" s="192" t="s">
        <v>314</v>
      </c>
      <c r="D58" s="153">
        <v>0</v>
      </c>
      <c r="E58" s="153">
        <v>0</v>
      </c>
      <c r="F58" s="193" t="s">
        <v>267</v>
      </c>
      <c r="G58" s="153">
        <v>0</v>
      </c>
      <c r="H58" s="153">
        <f t="shared" si="2"/>
        <v>0</v>
      </c>
      <c r="I58" s="193" t="s">
        <v>267</v>
      </c>
    </row>
    <row r="59" spans="1:9" s="137" customFormat="1" ht="13.5" thickBot="1">
      <c r="A59" s="190" t="s">
        <v>321</v>
      </c>
      <c r="B59" s="196"/>
      <c r="C59" s="192" t="s">
        <v>316</v>
      </c>
      <c r="D59" s="153">
        <v>-270809</v>
      </c>
      <c r="E59" s="153">
        <v>-270057.5</v>
      </c>
      <c r="F59" s="154">
        <f t="shared" si="5"/>
        <v>0.99722498144448668</v>
      </c>
      <c r="G59" s="153">
        <v>-262276.01999999996</v>
      </c>
      <c r="H59" s="153">
        <f t="shared" si="2"/>
        <v>-7781.4800000000396</v>
      </c>
      <c r="I59" s="155">
        <f t="shared" si="1"/>
        <v>2.9669048661025283E-2</v>
      </c>
    </row>
    <row r="60" spans="1:9" s="137" customFormat="1" ht="13.5" thickBot="1">
      <c r="A60" s="165">
        <v>1001</v>
      </c>
      <c r="B60" s="197" t="s">
        <v>322</v>
      </c>
      <c r="C60" s="198"/>
      <c r="D60" s="199">
        <v>-4143684</v>
      </c>
      <c r="E60" s="199">
        <v>3110182.0299999961</v>
      </c>
      <c r="F60" s="200">
        <f t="shared" si="5"/>
        <v>-0.7505837872772142</v>
      </c>
      <c r="G60" s="199">
        <v>-66782.539999997913</v>
      </c>
      <c r="H60" s="201">
        <f t="shared" si="2"/>
        <v>3176964.5699999938</v>
      </c>
      <c r="I60" s="202">
        <f t="shared" si="1"/>
        <v>-47.571784032175074</v>
      </c>
    </row>
    <row r="61" spans="1:9" s="211" customFormat="1" ht="8.25" customHeight="1" thickBot="1">
      <c r="A61" s="203"/>
      <c r="B61" s="204"/>
      <c r="C61" s="205"/>
      <c r="D61" s="206"/>
      <c r="E61" s="207"/>
      <c r="F61" s="208"/>
      <c r="G61" s="207"/>
      <c r="H61" s="209"/>
      <c r="I61" s="210"/>
    </row>
    <row r="62" spans="1:9" ht="16.5" customHeight="1">
      <c r="A62" s="212"/>
      <c r="B62" s="259" t="s">
        <v>323</v>
      </c>
      <c r="C62" s="260"/>
      <c r="D62" s="213">
        <f>SUM(D63:D71)</f>
        <v>103430018.94</v>
      </c>
      <c r="E62" s="214">
        <f>SUM(E63:E71)</f>
        <v>99551236.920000002</v>
      </c>
      <c r="F62" s="215">
        <f>E62/D62</f>
        <v>0.96249848873903732</v>
      </c>
      <c r="G62" s="214">
        <v>94224386.76000002</v>
      </c>
      <c r="H62" s="216">
        <f t="shared" si="2"/>
        <v>5326850.1599999815</v>
      </c>
      <c r="I62" s="217">
        <f t="shared" si="1"/>
        <v>5.6533667590409058E-2</v>
      </c>
    </row>
    <row r="63" spans="1:9" s="225" customFormat="1">
      <c r="A63" s="218" t="s">
        <v>324</v>
      </c>
      <c r="B63" s="219" t="s">
        <v>220</v>
      </c>
      <c r="C63" s="220"/>
      <c r="D63" s="221">
        <v>7562870</v>
      </c>
      <c r="E63" s="221">
        <v>7247134.9200000009</v>
      </c>
      <c r="F63" s="222">
        <f>E63/D63</f>
        <v>0.95825194932611568</v>
      </c>
      <c r="G63" s="223">
        <v>6790498.5800000001</v>
      </c>
      <c r="H63" s="223">
        <f t="shared" si="2"/>
        <v>456636.34000000078</v>
      </c>
      <c r="I63" s="224">
        <f t="shared" si="1"/>
        <v>6.7246364110130005E-2</v>
      </c>
    </row>
    <row r="64" spans="1:9" s="225" customFormat="1">
      <c r="A64" s="226" t="s">
        <v>325</v>
      </c>
      <c r="B64" s="227" t="s">
        <v>326</v>
      </c>
      <c r="C64" s="228"/>
      <c r="D64" s="221">
        <v>273229</v>
      </c>
      <c r="E64" s="221">
        <v>270481.83</v>
      </c>
      <c r="F64" s="229">
        <f t="shared" ref="F64:F71" si="6">E64/D64</f>
        <v>0.98994554018790104</v>
      </c>
      <c r="G64" s="221">
        <v>274731.15000000002</v>
      </c>
      <c r="H64" s="221">
        <f t="shared" si="2"/>
        <v>-4249.320000000007</v>
      </c>
      <c r="I64" s="230">
        <f t="shared" si="1"/>
        <v>-1.5467194018588742E-2</v>
      </c>
    </row>
    <row r="65" spans="1:9" s="225" customFormat="1">
      <c r="A65" s="226" t="s">
        <v>327</v>
      </c>
      <c r="B65" s="227" t="s">
        <v>206</v>
      </c>
      <c r="C65" s="228"/>
      <c r="D65" s="221">
        <v>12297368</v>
      </c>
      <c r="E65" s="221">
        <v>11772734.920000002</v>
      </c>
      <c r="F65" s="229">
        <f t="shared" si="6"/>
        <v>0.95733777504259465</v>
      </c>
      <c r="G65" s="231">
        <v>11395523.910000004</v>
      </c>
      <c r="H65" s="231">
        <f t="shared" si="2"/>
        <v>377211.00999999791</v>
      </c>
      <c r="I65" s="230">
        <f t="shared" si="1"/>
        <v>3.3101682114762707E-2</v>
      </c>
    </row>
    <row r="66" spans="1:9" s="137" customFormat="1">
      <c r="A66" s="226" t="s">
        <v>328</v>
      </c>
      <c r="B66" s="227" t="s">
        <v>134</v>
      </c>
      <c r="C66" s="228"/>
      <c r="D66" s="221">
        <v>4357963</v>
      </c>
      <c r="E66" s="221">
        <v>4259594.42</v>
      </c>
      <c r="F66" s="229">
        <f t="shared" si="6"/>
        <v>0.97742785333422977</v>
      </c>
      <c r="G66" s="231">
        <v>4978753.0199999996</v>
      </c>
      <c r="H66" s="231">
        <f t="shared" si="2"/>
        <v>-719158.59999999963</v>
      </c>
      <c r="I66" s="230">
        <f t="shared" si="1"/>
        <v>-0.14444552624142815</v>
      </c>
    </row>
    <row r="67" spans="1:9" s="137" customFormat="1">
      <c r="A67" s="226" t="s">
        <v>329</v>
      </c>
      <c r="B67" s="227" t="s">
        <v>330</v>
      </c>
      <c r="C67" s="228"/>
      <c r="D67" s="221">
        <v>2214810.14</v>
      </c>
      <c r="E67" s="221">
        <v>2184231.8199999998</v>
      </c>
      <c r="F67" s="229">
        <f t="shared" si="6"/>
        <v>0.98619370597607958</v>
      </c>
      <c r="G67" s="231">
        <v>2210481.4500000002</v>
      </c>
      <c r="H67" s="231">
        <f t="shared" si="2"/>
        <v>-26249.630000000354</v>
      </c>
      <c r="I67" s="230">
        <f t="shared" si="1"/>
        <v>-1.1875073640631706E-2</v>
      </c>
    </row>
    <row r="68" spans="1:9" s="137" customFormat="1">
      <c r="A68" s="226" t="s">
        <v>331</v>
      </c>
      <c r="B68" s="227" t="s">
        <v>332</v>
      </c>
      <c r="C68" s="228"/>
      <c r="D68" s="221">
        <v>437282</v>
      </c>
      <c r="E68" s="221">
        <v>429838.38</v>
      </c>
      <c r="F68" s="229">
        <f t="shared" si="6"/>
        <v>0.982977529374637</v>
      </c>
      <c r="G68" s="231">
        <v>395774.23000000004</v>
      </c>
      <c r="H68" s="231">
        <f t="shared" si="2"/>
        <v>34064.149999999965</v>
      </c>
      <c r="I68" s="230">
        <f t="shared" si="1"/>
        <v>8.6069651376745687E-2</v>
      </c>
    </row>
    <row r="69" spans="1:9" s="137" customFormat="1">
      <c r="A69" s="226" t="s">
        <v>333</v>
      </c>
      <c r="B69" s="227" t="s">
        <v>334</v>
      </c>
      <c r="C69" s="228"/>
      <c r="D69" s="221">
        <v>9086385</v>
      </c>
      <c r="E69" s="221">
        <v>8982593.5000000019</v>
      </c>
      <c r="F69" s="229">
        <f t="shared" si="6"/>
        <v>0.98857725046869593</v>
      </c>
      <c r="G69" s="231">
        <v>7824723.870000001</v>
      </c>
      <c r="H69" s="231">
        <f t="shared" si="2"/>
        <v>1157869.6300000008</v>
      </c>
      <c r="I69" s="230">
        <f t="shared" si="1"/>
        <v>0.14797578154026292</v>
      </c>
    </row>
    <row r="70" spans="1:9" s="137" customFormat="1">
      <c r="A70" s="226" t="s">
        <v>335</v>
      </c>
      <c r="B70" s="227" t="s">
        <v>60</v>
      </c>
      <c r="C70" s="228"/>
      <c r="D70" s="221">
        <v>57818997.799999997</v>
      </c>
      <c r="E70" s="221">
        <v>55672645.519999988</v>
      </c>
      <c r="F70" s="229">
        <f t="shared" si="6"/>
        <v>0.96287807880336507</v>
      </c>
      <c r="G70" s="231">
        <v>52042392.230000012</v>
      </c>
      <c r="H70" s="231">
        <f t="shared" si="2"/>
        <v>3630253.2899999768</v>
      </c>
      <c r="I70" s="230">
        <f t="shared" ref="I70:I81" si="7">H70/G70</f>
        <v>6.975569597101082E-2</v>
      </c>
    </row>
    <row r="71" spans="1:9" s="137" customFormat="1">
      <c r="A71" s="226" t="s">
        <v>336</v>
      </c>
      <c r="B71" s="227" t="s">
        <v>10</v>
      </c>
      <c r="C71" s="228"/>
      <c r="D71" s="221">
        <v>9381114</v>
      </c>
      <c r="E71" s="221">
        <v>8731981.6099999994</v>
      </c>
      <c r="F71" s="229">
        <f t="shared" si="6"/>
        <v>0.93080433837601795</v>
      </c>
      <c r="G71" s="231">
        <v>8311508.3200000003</v>
      </c>
      <c r="H71" s="231">
        <f t="shared" ref="H71:H81" si="8">E71-G71</f>
        <v>420473.28999999911</v>
      </c>
      <c r="I71" s="230">
        <f t="shared" si="7"/>
        <v>5.0589288226808762E-2</v>
      </c>
    </row>
    <row r="72" spans="1:9">
      <c r="A72" s="232"/>
      <c r="B72" s="261" t="s">
        <v>337</v>
      </c>
      <c r="C72" s="262"/>
      <c r="D72" s="233">
        <f>SUM(D73:D81)</f>
        <v>29024400</v>
      </c>
      <c r="E72" s="275">
        <f>SUM(E73:E81)</f>
        <v>24629674</v>
      </c>
      <c r="F72" s="234">
        <f>E72/D72</f>
        <v>0.84858512148399279</v>
      </c>
      <c r="G72" s="235">
        <v>38972614</v>
      </c>
      <c r="H72" s="235">
        <f t="shared" si="8"/>
        <v>-14342940</v>
      </c>
      <c r="I72" s="236">
        <f t="shared" si="7"/>
        <v>-0.36802612213797103</v>
      </c>
    </row>
    <row r="73" spans="1:9">
      <c r="A73" s="226" t="s">
        <v>324</v>
      </c>
      <c r="B73" s="227" t="s">
        <v>220</v>
      </c>
      <c r="C73" s="237"/>
      <c r="D73" s="231">
        <v>950675</v>
      </c>
      <c r="E73" s="238">
        <v>910135</v>
      </c>
      <c r="F73" s="229">
        <f>E73/D73</f>
        <v>0.95735661503668446</v>
      </c>
      <c r="G73" s="239">
        <v>808618</v>
      </c>
      <c r="H73" s="239">
        <f t="shared" si="8"/>
        <v>101517</v>
      </c>
      <c r="I73" s="230">
        <f t="shared" si="7"/>
        <v>0.12554382910100936</v>
      </c>
    </row>
    <row r="74" spans="1:9">
      <c r="A74" s="226" t="s">
        <v>325</v>
      </c>
      <c r="B74" s="227" t="s">
        <v>326</v>
      </c>
      <c r="C74" s="228"/>
      <c r="D74" s="231">
        <v>30000</v>
      </c>
      <c r="E74" s="238">
        <v>30000</v>
      </c>
      <c r="F74" s="240" t="s">
        <v>267</v>
      </c>
      <c r="G74" s="239"/>
      <c r="H74" s="239">
        <f t="shared" si="8"/>
        <v>30000</v>
      </c>
      <c r="I74" s="240" t="s">
        <v>267</v>
      </c>
    </row>
    <row r="75" spans="1:9">
      <c r="A75" s="226" t="s">
        <v>327</v>
      </c>
      <c r="B75" s="227" t="s">
        <v>206</v>
      </c>
      <c r="C75" s="228"/>
      <c r="D75" s="231">
        <v>18861513</v>
      </c>
      <c r="E75" s="238">
        <v>17503070</v>
      </c>
      <c r="F75" s="229">
        <f>E75/D75</f>
        <v>0.92797804714817944</v>
      </c>
      <c r="G75" s="239">
        <v>27139895</v>
      </c>
      <c r="H75" s="239">
        <f t="shared" si="8"/>
        <v>-9636825</v>
      </c>
      <c r="I75" s="230">
        <f t="shared" si="7"/>
        <v>-0.35507967145782987</v>
      </c>
    </row>
    <row r="76" spans="1:9">
      <c r="A76" s="226" t="s">
        <v>328</v>
      </c>
      <c r="B76" s="227" t="s">
        <v>134</v>
      </c>
      <c r="C76" s="228"/>
      <c r="D76" s="231">
        <v>413133</v>
      </c>
      <c r="E76" s="238">
        <v>350826</v>
      </c>
      <c r="F76" s="229">
        <f t="shared" ref="F76:F81" si="9">E76/D76</f>
        <v>0.84918416103288774</v>
      </c>
      <c r="G76" s="239">
        <v>146257</v>
      </c>
      <c r="H76" s="239">
        <f t="shared" si="8"/>
        <v>204569</v>
      </c>
      <c r="I76" s="230">
        <f t="shared" si="7"/>
        <v>1.3986954470555255</v>
      </c>
    </row>
    <row r="77" spans="1:9">
      <c r="A77" s="226" t="s">
        <v>329</v>
      </c>
      <c r="B77" s="227" t="s">
        <v>330</v>
      </c>
      <c r="C77" s="228"/>
      <c r="D77" s="231">
        <v>568110</v>
      </c>
      <c r="E77" s="238">
        <v>263149</v>
      </c>
      <c r="F77" s="229">
        <f t="shared" si="9"/>
        <v>0.46320078857967645</v>
      </c>
      <c r="G77" s="239">
        <v>462626</v>
      </c>
      <c r="H77" s="239">
        <f t="shared" si="8"/>
        <v>-199477</v>
      </c>
      <c r="I77" s="230">
        <f t="shared" si="7"/>
        <v>-0.43118415307397334</v>
      </c>
    </row>
    <row r="78" spans="1:9">
      <c r="A78" s="226" t="s">
        <v>331</v>
      </c>
      <c r="B78" s="227" t="s">
        <v>332</v>
      </c>
      <c r="C78" s="228"/>
      <c r="D78" s="231"/>
      <c r="E78" s="238"/>
      <c r="F78" s="240" t="s">
        <v>267</v>
      </c>
      <c r="G78" s="239"/>
      <c r="H78" s="239">
        <f t="shared" si="8"/>
        <v>0</v>
      </c>
      <c r="I78" s="240" t="s">
        <v>267</v>
      </c>
    </row>
    <row r="79" spans="1:9">
      <c r="A79" s="226" t="s">
        <v>333</v>
      </c>
      <c r="B79" s="227" t="s">
        <v>334</v>
      </c>
      <c r="C79" s="228"/>
      <c r="D79" s="231">
        <v>826273</v>
      </c>
      <c r="E79" s="238">
        <v>749684</v>
      </c>
      <c r="F79" s="229">
        <f>E79/D79</f>
        <v>0.90730787524220202</v>
      </c>
      <c r="G79" s="239">
        <v>2743193</v>
      </c>
      <c r="H79" s="239">
        <f t="shared" si="8"/>
        <v>-1993509</v>
      </c>
      <c r="I79" s="230">
        <f t="shared" si="7"/>
        <v>-0.72671117198097257</v>
      </c>
    </row>
    <row r="80" spans="1:9" s="241" customFormat="1">
      <c r="A80" s="226" t="s">
        <v>335</v>
      </c>
      <c r="B80" s="227" t="s">
        <v>60</v>
      </c>
      <c r="C80" s="228"/>
      <c r="D80" s="231">
        <v>7041596</v>
      </c>
      <c r="E80" s="238">
        <v>4490917</v>
      </c>
      <c r="F80" s="229">
        <f t="shared" si="9"/>
        <v>0.63776976128707186</v>
      </c>
      <c r="G80" s="239">
        <v>7552321</v>
      </c>
      <c r="H80" s="239">
        <f t="shared" si="8"/>
        <v>-3061404</v>
      </c>
      <c r="I80" s="230">
        <f t="shared" si="7"/>
        <v>-0.40535935906326015</v>
      </c>
    </row>
    <row r="81" spans="1:9" s="241" customFormat="1" ht="13.5" thickBot="1">
      <c r="A81" s="242" t="s">
        <v>336</v>
      </c>
      <c r="B81" s="243" t="s">
        <v>10</v>
      </c>
      <c r="C81" s="244"/>
      <c r="D81" s="245">
        <v>333100</v>
      </c>
      <c r="E81" s="246">
        <v>331893</v>
      </c>
      <c r="F81" s="247">
        <f t="shared" si="9"/>
        <v>0.99637646352446718</v>
      </c>
      <c r="G81" s="248">
        <v>119704</v>
      </c>
      <c r="H81" s="248">
        <f t="shared" si="8"/>
        <v>212189</v>
      </c>
      <c r="I81" s="249">
        <f t="shared" si="7"/>
        <v>1.7726141148165475</v>
      </c>
    </row>
    <row r="82" spans="1:9" s="241" customFormat="1">
      <c r="A82" s="250"/>
      <c r="B82" s="97"/>
      <c r="C82" s="97"/>
      <c r="D82" s="251"/>
      <c r="E82" s="252"/>
      <c r="F82" s="97"/>
      <c r="G82" s="97"/>
      <c r="H82" s="97"/>
      <c r="I82" s="97"/>
    </row>
    <row r="83" spans="1:9" s="241" customFormat="1">
      <c r="A83" s="250"/>
      <c r="B83" s="97"/>
      <c r="C83" s="97"/>
      <c r="D83" s="251"/>
      <c r="E83" s="252"/>
      <c r="F83" s="252"/>
      <c r="G83" s="252"/>
      <c r="H83" s="97"/>
      <c r="I83" s="97"/>
    </row>
    <row r="84" spans="1:9" s="241" customFormat="1">
      <c r="A84" s="250"/>
      <c r="B84" s="97"/>
      <c r="C84" s="97"/>
      <c r="D84" s="251"/>
      <c r="E84" s="252"/>
      <c r="F84" s="251"/>
      <c r="G84" s="251"/>
      <c r="H84" s="97"/>
      <c r="I84" s="97"/>
    </row>
    <row r="85" spans="1:9" s="241" customFormat="1">
      <c r="A85" s="250"/>
      <c r="B85" s="97"/>
      <c r="C85" s="97"/>
      <c r="D85" s="251"/>
      <c r="E85" s="253"/>
      <c r="F85" s="253"/>
      <c r="G85" s="253"/>
      <c r="H85" s="97"/>
      <c r="I85" s="97"/>
    </row>
    <row r="86" spans="1:9" s="241" customFormat="1">
      <c r="A86" s="250"/>
      <c r="B86" s="97"/>
      <c r="C86" s="97"/>
      <c r="D86" s="251"/>
      <c r="E86" s="252"/>
      <c r="F86" s="97"/>
      <c r="G86" s="97"/>
      <c r="H86" s="97"/>
      <c r="I86" s="97"/>
    </row>
    <row r="87" spans="1:9" s="241" customFormat="1">
      <c r="A87" s="250"/>
      <c r="B87" s="97"/>
      <c r="C87" s="97"/>
      <c r="D87" s="251"/>
      <c r="E87" s="252"/>
      <c r="F87" s="97"/>
      <c r="G87" s="97"/>
      <c r="H87" s="97"/>
      <c r="I87" s="97"/>
    </row>
    <row r="88" spans="1:9" s="241" customFormat="1">
      <c r="A88" s="250"/>
      <c r="B88" s="97"/>
      <c r="C88" s="97"/>
      <c r="D88" s="251"/>
      <c r="E88" s="252"/>
      <c r="F88" s="97"/>
      <c r="G88" s="97"/>
      <c r="H88" s="97"/>
      <c r="I88" s="97"/>
    </row>
    <row r="89" spans="1:9" s="241" customFormat="1">
      <c r="A89" s="250"/>
      <c r="B89" s="97"/>
      <c r="C89" s="97"/>
      <c r="D89" s="251"/>
      <c r="E89" s="252"/>
      <c r="F89" s="97"/>
      <c r="G89" s="97"/>
      <c r="H89" s="97"/>
      <c r="I89" s="97"/>
    </row>
    <row r="90" spans="1:9" s="241" customFormat="1">
      <c r="A90" s="250"/>
      <c r="B90" s="97"/>
      <c r="C90" s="97"/>
      <c r="D90" s="251"/>
      <c r="E90" s="252"/>
      <c r="F90" s="97"/>
      <c r="G90" s="97"/>
      <c r="H90" s="97"/>
      <c r="I90" s="97"/>
    </row>
    <row r="91" spans="1:9" s="241" customFormat="1">
      <c r="A91" s="250"/>
      <c r="B91" s="97"/>
      <c r="C91" s="97"/>
      <c r="D91" s="251"/>
      <c r="E91" s="252"/>
      <c r="F91" s="97"/>
      <c r="G91" s="97"/>
      <c r="H91" s="97"/>
      <c r="I91" s="97"/>
    </row>
    <row r="92" spans="1:9" s="241" customFormat="1">
      <c r="A92" s="250"/>
      <c r="B92" s="97"/>
      <c r="C92" s="97"/>
      <c r="D92" s="251"/>
      <c r="E92" s="252"/>
      <c r="F92" s="97"/>
      <c r="G92" s="97"/>
      <c r="H92" s="97"/>
      <c r="I92" s="97"/>
    </row>
    <row r="93" spans="1:9" s="241" customFormat="1">
      <c r="A93" s="250"/>
      <c r="B93" s="97"/>
      <c r="C93" s="97"/>
      <c r="D93" s="251"/>
      <c r="E93" s="252"/>
      <c r="F93" s="97"/>
      <c r="G93" s="97"/>
      <c r="H93" s="97"/>
      <c r="I93" s="97"/>
    </row>
    <row r="94" spans="1:9" s="241" customFormat="1">
      <c r="A94" s="250"/>
      <c r="B94" s="97"/>
      <c r="C94" s="97"/>
      <c r="D94" s="251"/>
      <c r="E94" s="252"/>
      <c r="F94" s="97"/>
      <c r="G94" s="97"/>
      <c r="H94" s="97"/>
      <c r="I94" s="97"/>
    </row>
    <row r="95" spans="1:9" s="241" customFormat="1">
      <c r="A95" s="250"/>
      <c r="B95" s="97"/>
      <c r="C95" s="97"/>
      <c r="D95" s="251"/>
      <c r="E95" s="252"/>
      <c r="F95" s="97"/>
      <c r="G95" s="97"/>
      <c r="H95" s="97"/>
      <c r="I95" s="97"/>
    </row>
    <row r="96" spans="1:9" s="241" customFormat="1">
      <c r="A96" s="250"/>
      <c r="B96" s="97"/>
      <c r="C96" s="97"/>
      <c r="D96" s="251"/>
      <c r="E96" s="252"/>
      <c r="F96" s="97"/>
      <c r="G96" s="97"/>
      <c r="H96" s="97"/>
      <c r="I96" s="97"/>
    </row>
    <row r="97" spans="1:9" s="241" customFormat="1">
      <c r="A97" s="250"/>
      <c r="B97" s="97"/>
      <c r="C97" s="97"/>
      <c r="D97" s="251"/>
      <c r="E97" s="252"/>
      <c r="F97" s="97"/>
      <c r="G97" s="97"/>
      <c r="H97" s="97"/>
      <c r="I97" s="97"/>
    </row>
    <row r="98" spans="1:9" s="241" customFormat="1">
      <c r="A98" s="250"/>
      <c r="B98" s="97"/>
      <c r="C98" s="97"/>
      <c r="D98" s="251"/>
      <c r="E98" s="252"/>
      <c r="F98" s="97"/>
      <c r="G98" s="97"/>
      <c r="H98" s="97"/>
      <c r="I98" s="97"/>
    </row>
    <row r="99" spans="1:9" s="241" customFormat="1">
      <c r="A99" s="250"/>
      <c r="B99" s="97"/>
      <c r="C99" s="97"/>
      <c r="D99" s="251"/>
      <c r="E99" s="252"/>
      <c r="F99" s="97"/>
      <c r="G99" s="97"/>
      <c r="H99" s="97"/>
      <c r="I99" s="97"/>
    </row>
    <row r="100" spans="1:9" s="241" customFormat="1">
      <c r="A100" s="250"/>
      <c r="B100" s="97"/>
      <c r="C100" s="97"/>
      <c r="D100" s="251"/>
      <c r="E100" s="252"/>
      <c r="F100" s="97"/>
      <c r="G100" s="97"/>
      <c r="H100" s="97"/>
      <c r="I100" s="97"/>
    </row>
    <row r="101" spans="1:9" s="241" customFormat="1">
      <c r="A101" s="250"/>
      <c r="B101" s="97"/>
      <c r="C101" s="97"/>
      <c r="D101" s="251"/>
      <c r="E101" s="252"/>
      <c r="F101" s="97"/>
      <c r="G101" s="97"/>
      <c r="H101" s="97"/>
      <c r="I101" s="97"/>
    </row>
    <row r="102" spans="1:9" s="241" customFormat="1">
      <c r="A102" s="250"/>
      <c r="B102" s="97"/>
      <c r="C102" s="97"/>
      <c r="D102" s="251"/>
      <c r="E102" s="252"/>
      <c r="F102" s="97"/>
      <c r="G102" s="97"/>
      <c r="H102" s="97"/>
      <c r="I102" s="97"/>
    </row>
    <row r="103" spans="1:9" s="241" customFormat="1">
      <c r="A103" s="250"/>
      <c r="B103" s="97"/>
      <c r="C103" s="97"/>
      <c r="D103" s="251"/>
      <c r="E103" s="252"/>
      <c r="F103" s="97"/>
      <c r="G103" s="97"/>
      <c r="H103" s="97"/>
      <c r="I103" s="97"/>
    </row>
    <row r="104" spans="1:9" s="241" customFormat="1">
      <c r="A104" s="250"/>
      <c r="B104" s="97"/>
      <c r="C104" s="97"/>
      <c r="D104" s="251"/>
      <c r="E104" s="252"/>
      <c r="F104" s="97"/>
      <c r="G104" s="97"/>
      <c r="H104" s="97"/>
      <c r="I104" s="97"/>
    </row>
    <row r="105" spans="1:9" s="241" customFormat="1">
      <c r="A105" s="250"/>
      <c r="B105" s="97"/>
      <c r="C105" s="97"/>
      <c r="D105" s="251"/>
      <c r="E105" s="252"/>
      <c r="F105" s="97"/>
      <c r="G105" s="97"/>
      <c r="H105" s="97"/>
      <c r="I105" s="97"/>
    </row>
    <row r="106" spans="1:9" s="241" customFormat="1">
      <c r="A106" s="250"/>
      <c r="B106" s="97"/>
      <c r="C106" s="97"/>
      <c r="D106" s="251"/>
      <c r="E106" s="252"/>
      <c r="F106" s="97"/>
      <c r="G106" s="97"/>
      <c r="H106" s="97"/>
      <c r="I106" s="97"/>
    </row>
    <row r="107" spans="1:9" s="241" customFormat="1">
      <c r="A107" s="250"/>
      <c r="B107" s="97"/>
      <c r="C107" s="97"/>
      <c r="D107" s="251"/>
      <c r="E107" s="252"/>
      <c r="F107" s="97"/>
      <c r="G107" s="97"/>
      <c r="H107" s="97"/>
      <c r="I107" s="97"/>
    </row>
    <row r="108" spans="1:9" s="241" customFormat="1">
      <c r="A108" s="250"/>
      <c r="B108" s="97"/>
      <c r="C108" s="97"/>
      <c r="D108" s="251"/>
      <c r="E108" s="252"/>
      <c r="F108" s="97"/>
      <c r="G108" s="97"/>
      <c r="H108" s="97"/>
      <c r="I108" s="97"/>
    </row>
    <row r="109" spans="1:9" s="241" customFormat="1">
      <c r="A109" s="250"/>
      <c r="B109" s="97"/>
      <c r="C109" s="97"/>
      <c r="D109" s="251"/>
      <c r="E109" s="252"/>
      <c r="F109" s="97"/>
      <c r="G109" s="97"/>
      <c r="H109" s="97"/>
      <c r="I109" s="97"/>
    </row>
    <row r="110" spans="1:9" s="241" customFormat="1">
      <c r="A110" s="250"/>
      <c r="B110" s="97"/>
      <c r="C110" s="97"/>
      <c r="D110" s="251"/>
      <c r="E110" s="252"/>
      <c r="F110" s="97"/>
      <c r="G110" s="97"/>
      <c r="H110" s="97"/>
      <c r="I110" s="97"/>
    </row>
    <row r="111" spans="1:9" s="241" customFormat="1">
      <c r="A111" s="250"/>
      <c r="B111" s="97"/>
      <c r="C111" s="97"/>
      <c r="D111" s="251"/>
      <c r="E111" s="252"/>
      <c r="F111" s="97"/>
      <c r="G111" s="97"/>
      <c r="H111" s="97"/>
      <c r="I111" s="97"/>
    </row>
    <row r="112" spans="1:9" s="241" customFormat="1">
      <c r="A112" s="250"/>
      <c r="B112" s="97"/>
      <c r="C112" s="97"/>
      <c r="D112" s="251"/>
      <c r="E112" s="252"/>
      <c r="F112" s="97"/>
      <c r="G112" s="97"/>
      <c r="H112" s="97"/>
      <c r="I112" s="97"/>
    </row>
    <row r="113" spans="1:9" s="241" customFormat="1">
      <c r="A113" s="250"/>
      <c r="B113" s="97"/>
      <c r="C113" s="97"/>
      <c r="D113" s="251"/>
      <c r="E113" s="252"/>
      <c r="F113" s="97"/>
      <c r="G113" s="97"/>
      <c r="H113" s="97"/>
      <c r="I113" s="97"/>
    </row>
    <row r="114" spans="1:9" s="241" customFormat="1">
      <c r="A114" s="250"/>
      <c r="B114" s="97"/>
      <c r="C114" s="97"/>
      <c r="D114" s="251"/>
      <c r="E114" s="252"/>
      <c r="F114" s="97"/>
      <c r="G114" s="97"/>
      <c r="H114" s="97"/>
      <c r="I114" s="97"/>
    </row>
    <row r="115" spans="1:9" s="241" customFormat="1">
      <c r="A115" s="250"/>
      <c r="B115" s="97"/>
      <c r="C115" s="97"/>
      <c r="D115" s="251"/>
      <c r="E115" s="252"/>
      <c r="F115" s="97"/>
      <c r="G115" s="97"/>
      <c r="H115" s="97"/>
      <c r="I115" s="97"/>
    </row>
    <row r="116" spans="1:9" s="241" customFormat="1">
      <c r="A116" s="250"/>
      <c r="B116" s="97"/>
      <c r="C116" s="97"/>
      <c r="D116" s="251"/>
      <c r="E116" s="252"/>
      <c r="F116" s="97"/>
      <c r="G116" s="97"/>
      <c r="H116" s="97"/>
      <c r="I116" s="97"/>
    </row>
    <row r="117" spans="1:9" s="241" customFormat="1">
      <c r="A117" s="250"/>
      <c r="B117" s="97"/>
      <c r="C117" s="97"/>
      <c r="D117" s="251"/>
      <c r="E117" s="252"/>
      <c r="F117" s="97"/>
      <c r="G117" s="97"/>
      <c r="H117" s="97"/>
      <c r="I117" s="97"/>
    </row>
    <row r="118" spans="1:9" s="241" customFormat="1">
      <c r="A118" s="250"/>
      <c r="B118" s="97"/>
      <c r="C118" s="97"/>
      <c r="D118" s="251"/>
      <c r="E118" s="252"/>
      <c r="F118" s="97"/>
      <c r="G118" s="97"/>
      <c r="H118" s="97"/>
      <c r="I118" s="97"/>
    </row>
    <row r="119" spans="1:9" s="241" customFormat="1">
      <c r="A119" s="250"/>
      <c r="B119" s="97"/>
      <c r="C119" s="97"/>
      <c r="D119" s="251"/>
      <c r="E119" s="252"/>
      <c r="F119" s="97"/>
      <c r="G119" s="97"/>
      <c r="H119" s="97"/>
      <c r="I119" s="97"/>
    </row>
    <row r="120" spans="1:9" s="241" customFormat="1">
      <c r="A120" s="250"/>
      <c r="B120" s="97"/>
      <c r="C120" s="97"/>
      <c r="D120" s="251"/>
      <c r="E120" s="252"/>
      <c r="F120" s="97"/>
      <c r="G120" s="97"/>
      <c r="H120" s="97"/>
      <c r="I120" s="97"/>
    </row>
    <row r="121" spans="1:9" s="241" customFormat="1">
      <c r="A121" s="250"/>
      <c r="B121" s="97"/>
      <c r="C121" s="97"/>
      <c r="D121" s="251"/>
      <c r="E121" s="252"/>
      <c r="F121" s="97"/>
      <c r="G121" s="97"/>
      <c r="H121" s="97"/>
      <c r="I121" s="97"/>
    </row>
    <row r="122" spans="1:9" s="241" customFormat="1">
      <c r="A122" s="250"/>
      <c r="B122" s="97"/>
      <c r="C122" s="97"/>
      <c r="D122" s="251"/>
      <c r="E122" s="252"/>
      <c r="F122" s="97"/>
      <c r="G122" s="97"/>
      <c r="H122" s="97"/>
      <c r="I122" s="97"/>
    </row>
    <row r="123" spans="1:9" s="241" customFormat="1">
      <c r="A123" s="250"/>
      <c r="B123" s="97"/>
      <c r="C123" s="97"/>
      <c r="D123" s="251"/>
      <c r="E123" s="252"/>
      <c r="F123" s="97"/>
      <c r="G123" s="97"/>
      <c r="H123" s="97"/>
      <c r="I123" s="97"/>
    </row>
    <row r="124" spans="1:9" s="241" customFormat="1">
      <c r="A124" s="250"/>
      <c r="B124" s="97"/>
      <c r="C124" s="97"/>
      <c r="D124" s="251"/>
      <c r="E124" s="252"/>
      <c r="F124" s="97"/>
      <c r="G124" s="97"/>
      <c r="H124" s="97"/>
      <c r="I124" s="97"/>
    </row>
    <row r="125" spans="1:9" s="241" customFormat="1">
      <c r="A125" s="250"/>
      <c r="B125" s="97"/>
      <c r="C125" s="97"/>
      <c r="D125" s="251"/>
      <c r="E125" s="252"/>
      <c r="F125" s="97"/>
      <c r="G125" s="97"/>
      <c r="H125" s="97"/>
      <c r="I125" s="97"/>
    </row>
    <row r="126" spans="1:9" s="241" customFormat="1">
      <c r="A126" s="250"/>
      <c r="B126" s="97"/>
      <c r="C126" s="97"/>
      <c r="D126" s="251"/>
      <c r="E126" s="252"/>
      <c r="F126" s="97"/>
      <c r="G126" s="97"/>
      <c r="H126" s="97"/>
      <c r="I126" s="97"/>
    </row>
    <row r="127" spans="1:9" s="241" customFormat="1">
      <c r="A127" s="250"/>
      <c r="B127" s="97"/>
      <c r="C127" s="97"/>
      <c r="D127" s="251"/>
      <c r="E127" s="252"/>
      <c r="F127" s="97"/>
      <c r="G127" s="97"/>
      <c r="H127" s="97"/>
      <c r="I127" s="97"/>
    </row>
    <row r="128" spans="1:9" s="241" customFormat="1">
      <c r="A128" s="250"/>
      <c r="B128" s="97"/>
      <c r="C128" s="97"/>
      <c r="D128" s="251"/>
      <c r="E128" s="252"/>
      <c r="F128" s="97"/>
      <c r="G128" s="97"/>
      <c r="H128" s="97"/>
      <c r="I128" s="97"/>
    </row>
    <row r="129" spans="1:9" s="241" customFormat="1">
      <c r="A129" s="250"/>
      <c r="B129" s="97"/>
      <c r="C129" s="97"/>
      <c r="D129" s="251"/>
      <c r="E129" s="252"/>
      <c r="F129" s="97"/>
      <c r="G129" s="97"/>
      <c r="H129" s="97"/>
      <c r="I129" s="97"/>
    </row>
    <row r="130" spans="1:9" s="241" customFormat="1">
      <c r="A130" s="250"/>
      <c r="B130" s="97"/>
      <c r="C130" s="97"/>
      <c r="D130" s="251"/>
      <c r="E130" s="252"/>
      <c r="F130" s="97"/>
      <c r="G130" s="97"/>
      <c r="H130" s="97"/>
      <c r="I130" s="97"/>
    </row>
    <row r="131" spans="1:9" s="241" customFormat="1">
      <c r="A131" s="250"/>
      <c r="B131" s="97"/>
      <c r="C131" s="97"/>
      <c r="D131" s="251"/>
      <c r="E131" s="252"/>
      <c r="F131" s="97"/>
      <c r="G131" s="97"/>
      <c r="H131" s="97"/>
      <c r="I131" s="97"/>
    </row>
    <row r="132" spans="1:9" s="241" customFormat="1">
      <c r="A132" s="250"/>
      <c r="B132" s="97"/>
      <c r="C132" s="97"/>
      <c r="D132" s="251"/>
      <c r="E132" s="252"/>
      <c r="F132" s="97"/>
      <c r="G132" s="97"/>
      <c r="H132" s="97"/>
      <c r="I132" s="97"/>
    </row>
    <row r="133" spans="1:9" s="241" customFormat="1">
      <c r="A133" s="250"/>
      <c r="B133" s="97"/>
      <c r="C133" s="97"/>
      <c r="D133" s="251"/>
      <c r="E133" s="252"/>
      <c r="F133" s="97"/>
      <c r="G133" s="97"/>
      <c r="H133" s="97"/>
      <c r="I133" s="97"/>
    </row>
    <row r="134" spans="1:9" s="241" customFormat="1">
      <c r="A134" s="250"/>
      <c r="B134" s="97"/>
      <c r="C134" s="97"/>
      <c r="D134" s="251"/>
      <c r="E134" s="252"/>
      <c r="F134" s="97"/>
      <c r="G134" s="97"/>
      <c r="H134" s="97"/>
      <c r="I134" s="97"/>
    </row>
    <row r="135" spans="1:9" s="241" customFormat="1">
      <c r="A135" s="250"/>
      <c r="B135" s="97"/>
      <c r="C135" s="97"/>
      <c r="D135" s="251"/>
      <c r="E135" s="252"/>
      <c r="F135" s="97"/>
      <c r="G135" s="97"/>
      <c r="H135" s="97"/>
      <c r="I135" s="97"/>
    </row>
    <row r="136" spans="1:9" s="241" customFormat="1">
      <c r="A136" s="250"/>
      <c r="B136" s="97"/>
      <c r="C136" s="97"/>
      <c r="D136" s="251"/>
      <c r="E136" s="252"/>
      <c r="F136" s="97"/>
      <c r="G136" s="97"/>
      <c r="H136" s="97"/>
      <c r="I136" s="97"/>
    </row>
    <row r="137" spans="1:9" s="241" customFormat="1">
      <c r="A137" s="250"/>
      <c r="B137" s="97"/>
      <c r="C137" s="97"/>
      <c r="D137" s="251"/>
      <c r="E137" s="252"/>
      <c r="F137" s="97"/>
      <c r="G137" s="97"/>
      <c r="H137" s="97"/>
      <c r="I137" s="97"/>
    </row>
    <row r="138" spans="1:9" s="241" customFormat="1">
      <c r="A138" s="250"/>
      <c r="B138" s="97"/>
      <c r="C138" s="97"/>
      <c r="D138" s="251"/>
      <c r="E138" s="252"/>
      <c r="F138" s="97"/>
      <c r="G138" s="97"/>
      <c r="H138" s="97"/>
      <c r="I138" s="97"/>
    </row>
    <row r="139" spans="1:9" s="241" customFormat="1">
      <c r="A139" s="250"/>
      <c r="B139" s="97"/>
      <c r="C139" s="97"/>
      <c r="D139" s="251"/>
      <c r="E139" s="252"/>
      <c r="F139" s="97"/>
      <c r="G139" s="97"/>
      <c r="H139" s="97"/>
      <c r="I139" s="97"/>
    </row>
    <row r="140" spans="1:9" s="241" customFormat="1">
      <c r="A140" s="250"/>
      <c r="B140" s="97"/>
      <c r="C140" s="97"/>
      <c r="D140" s="251"/>
      <c r="E140" s="252"/>
      <c r="F140" s="97"/>
      <c r="G140" s="97"/>
      <c r="H140" s="97"/>
      <c r="I140" s="97"/>
    </row>
    <row r="141" spans="1:9" s="241" customFormat="1">
      <c r="A141" s="250"/>
      <c r="B141" s="97"/>
      <c r="C141" s="97"/>
      <c r="D141" s="251"/>
      <c r="E141" s="252"/>
      <c r="F141" s="97"/>
      <c r="G141" s="97"/>
      <c r="H141" s="97"/>
      <c r="I141" s="97"/>
    </row>
    <row r="142" spans="1:9" s="241" customFormat="1">
      <c r="A142" s="250"/>
      <c r="B142" s="97"/>
      <c r="C142" s="97"/>
      <c r="D142" s="251"/>
      <c r="E142" s="252"/>
      <c r="F142" s="97"/>
      <c r="G142" s="97"/>
      <c r="H142" s="97"/>
      <c r="I142" s="97"/>
    </row>
    <row r="143" spans="1:9" s="241" customFormat="1">
      <c r="A143" s="250"/>
      <c r="B143" s="97"/>
      <c r="C143" s="97"/>
      <c r="D143" s="251"/>
      <c r="E143" s="252"/>
      <c r="F143" s="97"/>
      <c r="G143" s="97"/>
      <c r="H143" s="97"/>
      <c r="I143" s="97"/>
    </row>
    <row r="144" spans="1:9" s="241" customFormat="1">
      <c r="A144" s="250"/>
      <c r="B144" s="97"/>
      <c r="C144" s="97"/>
      <c r="D144" s="251"/>
      <c r="E144" s="252"/>
      <c r="F144" s="97"/>
      <c r="G144" s="97"/>
      <c r="H144" s="97"/>
      <c r="I144" s="97"/>
    </row>
    <row r="145" spans="1:9" s="241" customFormat="1">
      <c r="A145" s="250"/>
      <c r="B145" s="97"/>
      <c r="C145" s="97"/>
      <c r="D145" s="251"/>
      <c r="E145" s="252"/>
      <c r="F145" s="97"/>
      <c r="G145" s="97"/>
      <c r="H145" s="97"/>
      <c r="I145" s="97"/>
    </row>
    <row r="146" spans="1:9" s="241" customFormat="1">
      <c r="A146" s="250"/>
      <c r="B146" s="97"/>
      <c r="C146" s="97"/>
      <c r="D146" s="251"/>
      <c r="E146" s="252"/>
      <c r="F146" s="97"/>
      <c r="G146" s="97"/>
      <c r="H146" s="97"/>
      <c r="I146" s="97"/>
    </row>
    <row r="147" spans="1:9" s="241" customFormat="1">
      <c r="A147" s="250"/>
      <c r="B147" s="97"/>
      <c r="C147" s="97"/>
      <c r="D147" s="251"/>
      <c r="E147" s="252"/>
      <c r="F147" s="97"/>
      <c r="G147" s="97"/>
      <c r="H147" s="97"/>
      <c r="I147" s="97"/>
    </row>
    <row r="148" spans="1:9" s="241" customFormat="1">
      <c r="A148" s="250"/>
      <c r="B148" s="97"/>
      <c r="C148" s="97"/>
      <c r="D148" s="251"/>
      <c r="E148" s="252"/>
      <c r="F148" s="97"/>
      <c r="G148" s="97"/>
      <c r="H148" s="97"/>
      <c r="I148" s="97"/>
    </row>
    <row r="149" spans="1:9" s="241" customFormat="1">
      <c r="A149" s="250"/>
      <c r="B149" s="97"/>
      <c r="C149" s="97"/>
      <c r="D149" s="254"/>
      <c r="E149" s="255"/>
      <c r="F149" s="97"/>
      <c r="G149" s="97"/>
      <c r="H149" s="97"/>
      <c r="I149" s="97"/>
    </row>
    <row r="150" spans="1:9" s="241" customFormat="1">
      <c r="A150" s="250"/>
      <c r="B150" s="97"/>
      <c r="C150" s="97"/>
      <c r="D150" s="254"/>
      <c r="E150" s="255"/>
      <c r="F150" s="97"/>
      <c r="G150" s="97"/>
      <c r="H150" s="97"/>
      <c r="I150" s="97"/>
    </row>
    <row r="151" spans="1:9" s="241" customFormat="1">
      <c r="A151" s="250"/>
      <c r="B151" s="97"/>
      <c r="C151" s="97"/>
      <c r="D151" s="254"/>
      <c r="E151" s="255"/>
      <c r="F151" s="97"/>
      <c r="G151" s="97"/>
      <c r="H151" s="97"/>
      <c r="I151" s="97"/>
    </row>
    <row r="152" spans="1:9" s="241" customFormat="1">
      <c r="A152" s="250"/>
      <c r="B152" s="97"/>
      <c r="C152" s="97"/>
      <c r="D152" s="254"/>
      <c r="E152" s="255"/>
      <c r="F152" s="97"/>
      <c r="G152" s="97"/>
      <c r="H152" s="97"/>
      <c r="I152" s="97"/>
    </row>
    <row r="153" spans="1:9" s="241" customFormat="1">
      <c r="A153" s="250"/>
      <c r="B153" s="97"/>
      <c r="C153" s="97"/>
      <c r="D153" s="254"/>
      <c r="E153" s="255"/>
      <c r="F153" s="97"/>
      <c r="G153" s="97"/>
      <c r="H153" s="97"/>
      <c r="I153" s="97"/>
    </row>
    <row r="154" spans="1:9" s="241" customFormat="1">
      <c r="A154" s="250"/>
      <c r="B154" s="97"/>
      <c r="C154" s="97"/>
      <c r="D154" s="254"/>
      <c r="E154" s="255"/>
      <c r="F154" s="97"/>
      <c r="G154" s="97"/>
      <c r="H154" s="97"/>
      <c r="I154" s="97"/>
    </row>
    <row r="155" spans="1:9" s="241" customFormat="1">
      <c r="A155" s="250"/>
      <c r="B155" s="97"/>
      <c r="C155" s="97"/>
      <c r="D155" s="254"/>
      <c r="E155" s="255"/>
      <c r="F155" s="97"/>
      <c r="G155" s="97"/>
      <c r="H155" s="97"/>
      <c r="I155" s="97"/>
    </row>
    <row r="156" spans="1:9" s="241" customFormat="1">
      <c r="A156" s="250"/>
      <c r="B156" s="97"/>
      <c r="C156" s="97"/>
      <c r="D156" s="254"/>
      <c r="E156" s="255"/>
      <c r="F156" s="97"/>
      <c r="G156" s="97"/>
      <c r="H156" s="97"/>
      <c r="I156" s="97"/>
    </row>
    <row r="157" spans="1:9" s="241" customFormat="1">
      <c r="A157" s="250"/>
      <c r="B157" s="97"/>
      <c r="C157" s="97"/>
      <c r="D157" s="254"/>
      <c r="E157" s="255"/>
      <c r="F157" s="97"/>
      <c r="G157" s="97"/>
      <c r="H157" s="97"/>
      <c r="I157" s="97"/>
    </row>
    <row r="158" spans="1:9" s="241" customFormat="1">
      <c r="A158" s="250"/>
      <c r="B158" s="97"/>
      <c r="C158" s="97"/>
      <c r="D158" s="254"/>
      <c r="E158" s="255"/>
      <c r="F158" s="97"/>
      <c r="G158" s="97"/>
      <c r="H158" s="97"/>
      <c r="I158" s="97"/>
    </row>
    <row r="159" spans="1:9" s="241" customFormat="1">
      <c r="A159" s="250"/>
      <c r="B159" s="97"/>
      <c r="C159" s="97"/>
      <c r="D159" s="254"/>
      <c r="E159" s="255"/>
      <c r="F159" s="97"/>
      <c r="G159" s="97"/>
      <c r="H159" s="97"/>
      <c r="I159" s="97"/>
    </row>
    <row r="160" spans="1:9" s="241" customFormat="1">
      <c r="A160" s="250"/>
      <c r="B160" s="97"/>
      <c r="C160" s="97"/>
      <c r="D160" s="254"/>
      <c r="E160" s="255"/>
      <c r="F160" s="97"/>
      <c r="G160" s="97"/>
      <c r="H160" s="97"/>
      <c r="I160" s="97"/>
    </row>
    <row r="161" spans="1:9" s="241" customFormat="1">
      <c r="A161" s="250"/>
      <c r="B161" s="97"/>
      <c r="C161" s="97"/>
      <c r="D161" s="254"/>
      <c r="E161" s="255"/>
      <c r="F161" s="97"/>
      <c r="G161" s="97"/>
      <c r="H161" s="97"/>
      <c r="I161" s="97"/>
    </row>
    <row r="162" spans="1:9" s="241" customFormat="1">
      <c r="A162" s="250"/>
      <c r="B162" s="97"/>
      <c r="C162" s="97"/>
      <c r="D162" s="254"/>
      <c r="E162" s="255"/>
      <c r="F162" s="97"/>
      <c r="G162" s="97"/>
      <c r="H162" s="97"/>
      <c r="I162" s="97"/>
    </row>
    <row r="163" spans="1:9" s="241" customFormat="1">
      <c r="A163" s="250"/>
      <c r="B163" s="97"/>
      <c r="C163" s="97"/>
      <c r="D163" s="254"/>
      <c r="E163" s="255"/>
      <c r="F163" s="97"/>
      <c r="G163" s="97"/>
      <c r="H163" s="97"/>
      <c r="I163" s="97"/>
    </row>
    <row r="164" spans="1:9" s="241" customFormat="1">
      <c r="A164" s="250"/>
      <c r="B164" s="97"/>
      <c r="C164" s="97"/>
      <c r="D164" s="254"/>
      <c r="E164" s="255"/>
      <c r="F164" s="97"/>
      <c r="G164" s="97"/>
      <c r="H164" s="97"/>
      <c r="I164" s="97"/>
    </row>
    <row r="165" spans="1:9" s="241" customFormat="1">
      <c r="A165" s="250"/>
      <c r="B165" s="97"/>
      <c r="C165" s="97"/>
      <c r="D165" s="254"/>
      <c r="E165" s="255"/>
      <c r="F165" s="97"/>
      <c r="G165" s="97"/>
      <c r="H165" s="97"/>
      <c r="I165" s="97"/>
    </row>
    <row r="166" spans="1:9" s="241" customFormat="1">
      <c r="A166" s="250"/>
      <c r="B166" s="97"/>
      <c r="C166" s="97"/>
      <c r="D166" s="254"/>
      <c r="E166" s="255"/>
      <c r="F166" s="97"/>
      <c r="G166" s="97"/>
      <c r="H166" s="97"/>
      <c r="I166" s="97"/>
    </row>
    <row r="167" spans="1:9" s="241" customFormat="1">
      <c r="A167" s="250"/>
      <c r="B167" s="97"/>
      <c r="C167" s="97"/>
      <c r="D167" s="254"/>
      <c r="E167" s="255"/>
      <c r="F167" s="97"/>
      <c r="G167" s="97"/>
      <c r="H167" s="97"/>
      <c r="I167" s="97"/>
    </row>
    <row r="168" spans="1:9" s="241" customFormat="1">
      <c r="A168" s="250"/>
      <c r="B168" s="97"/>
      <c r="C168" s="97"/>
      <c r="D168" s="254"/>
      <c r="E168" s="255"/>
      <c r="F168" s="97"/>
      <c r="G168" s="97"/>
      <c r="H168" s="97"/>
      <c r="I168" s="97"/>
    </row>
    <row r="169" spans="1:9" s="241" customFormat="1">
      <c r="A169" s="250"/>
      <c r="B169" s="97"/>
      <c r="C169" s="97"/>
      <c r="D169" s="254"/>
      <c r="E169" s="255"/>
      <c r="F169" s="97"/>
      <c r="G169" s="97"/>
      <c r="H169" s="97"/>
      <c r="I169" s="97"/>
    </row>
    <row r="170" spans="1:9" s="241" customFormat="1">
      <c r="A170" s="250"/>
      <c r="B170" s="97"/>
      <c r="C170" s="97"/>
      <c r="D170" s="254"/>
      <c r="E170" s="255"/>
      <c r="F170" s="97"/>
      <c r="G170" s="97"/>
      <c r="H170" s="97"/>
      <c r="I170" s="97"/>
    </row>
    <row r="171" spans="1:9" s="241" customFormat="1">
      <c r="A171" s="250"/>
      <c r="B171" s="97"/>
      <c r="C171" s="97"/>
      <c r="D171" s="254"/>
      <c r="E171" s="255"/>
      <c r="F171" s="97"/>
      <c r="G171" s="97"/>
      <c r="H171" s="97"/>
      <c r="I171" s="97"/>
    </row>
    <row r="172" spans="1:9" s="241" customFormat="1">
      <c r="A172" s="250"/>
      <c r="B172" s="97"/>
      <c r="C172" s="97"/>
      <c r="D172" s="254"/>
      <c r="E172" s="255"/>
      <c r="F172" s="97"/>
      <c r="G172" s="97"/>
      <c r="H172" s="97"/>
      <c r="I172" s="97"/>
    </row>
    <row r="173" spans="1:9" s="241" customFormat="1">
      <c r="A173" s="250"/>
      <c r="B173" s="97"/>
      <c r="C173" s="97"/>
      <c r="D173" s="254"/>
      <c r="E173" s="255"/>
      <c r="F173" s="97"/>
      <c r="G173" s="97"/>
      <c r="H173" s="97"/>
      <c r="I173" s="97"/>
    </row>
    <row r="174" spans="1:9" s="241" customFormat="1">
      <c r="A174" s="250"/>
      <c r="B174" s="97"/>
      <c r="C174" s="97"/>
      <c r="D174" s="254"/>
      <c r="E174" s="255"/>
      <c r="F174" s="97"/>
      <c r="G174" s="97"/>
      <c r="H174" s="97"/>
      <c r="I174" s="97"/>
    </row>
    <row r="175" spans="1:9" s="241" customFormat="1">
      <c r="A175" s="250"/>
      <c r="B175" s="97"/>
      <c r="C175" s="97"/>
      <c r="D175" s="254"/>
      <c r="E175" s="255"/>
      <c r="F175" s="97"/>
      <c r="G175" s="97"/>
      <c r="H175" s="97"/>
      <c r="I175" s="97"/>
    </row>
    <row r="176" spans="1:9" s="241" customFormat="1">
      <c r="A176" s="250"/>
      <c r="B176" s="97"/>
      <c r="C176" s="97"/>
      <c r="D176" s="254"/>
      <c r="E176" s="255"/>
      <c r="F176" s="97"/>
      <c r="G176" s="97"/>
      <c r="H176" s="97"/>
      <c r="I176" s="97"/>
    </row>
    <row r="177" spans="1:9" s="241" customFormat="1">
      <c r="A177" s="250"/>
      <c r="B177" s="97"/>
      <c r="C177" s="97"/>
      <c r="D177" s="254"/>
      <c r="E177" s="255"/>
      <c r="F177" s="97"/>
      <c r="G177" s="97"/>
      <c r="H177" s="97"/>
      <c r="I177" s="97"/>
    </row>
    <row r="178" spans="1:9" s="241" customFormat="1">
      <c r="A178" s="250"/>
      <c r="B178" s="97"/>
      <c r="C178" s="97"/>
      <c r="D178" s="254"/>
      <c r="E178" s="255"/>
      <c r="F178" s="97"/>
      <c r="G178" s="97"/>
      <c r="H178" s="97"/>
      <c r="I178" s="97"/>
    </row>
    <row r="179" spans="1:9" s="241" customFormat="1">
      <c r="A179" s="250"/>
      <c r="B179" s="97"/>
      <c r="C179" s="97"/>
      <c r="D179" s="254"/>
      <c r="E179" s="255"/>
      <c r="F179" s="97"/>
      <c r="G179" s="97"/>
      <c r="H179" s="97"/>
      <c r="I179" s="97"/>
    </row>
    <row r="180" spans="1:9" s="241" customFormat="1">
      <c r="A180" s="250"/>
      <c r="B180" s="97"/>
      <c r="C180" s="97"/>
      <c r="D180" s="254"/>
      <c r="E180" s="255"/>
      <c r="F180" s="97"/>
      <c r="G180" s="97"/>
      <c r="H180" s="97"/>
      <c r="I180" s="97"/>
    </row>
    <row r="181" spans="1:9" s="241" customFormat="1">
      <c r="A181" s="250"/>
      <c r="B181" s="97"/>
      <c r="C181" s="97"/>
      <c r="D181" s="254"/>
      <c r="E181" s="255"/>
      <c r="F181" s="97"/>
      <c r="G181" s="97"/>
      <c r="H181" s="97"/>
      <c r="I181" s="97"/>
    </row>
    <row r="182" spans="1:9" s="241" customFormat="1">
      <c r="A182" s="250"/>
      <c r="B182" s="97"/>
      <c r="C182" s="97"/>
      <c r="D182" s="254"/>
      <c r="E182" s="255"/>
      <c r="F182" s="97"/>
      <c r="G182" s="97"/>
      <c r="H182" s="97"/>
      <c r="I182" s="97"/>
    </row>
    <row r="183" spans="1:9" s="241" customFormat="1">
      <c r="A183" s="250"/>
      <c r="B183" s="97"/>
      <c r="C183" s="97"/>
      <c r="D183" s="254"/>
      <c r="E183" s="255"/>
      <c r="F183" s="97"/>
      <c r="G183" s="97"/>
      <c r="H183" s="97"/>
      <c r="I183" s="97"/>
    </row>
    <row r="184" spans="1:9" s="241" customFormat="1">
      <c r="A184" s="250"/>
      <c r="B184" s="97"/>
      <c r="C184" s="97"/>
      <c r="D184" s="254"/>
      <c r="E184" s="255"/>
      <c r="F184" s="97"/>
      <c r="G184" s="97"/>
      <c r="H184" s="97"/>
      <c r="I184" s="97"/>
    </row>
    <row r="185" spans="1:9" s="241" customFormat="1">
      <c r="A185" s="250"/>
      <c r="B185" s="97"/>
      <c r="C185" s="97"/>
      <c r="D185" s="254"/>
      <c r="E185" s="255"/>
      <c r="F185" s="97"/>
      <c r="G185" s="97"/>
      <c r="H185" s="97"/>
      <c r="I185" s="97"/>
    </row>
    <row r="186" spans="1:9" s="241" customFormat="1">
      <c r="A186" s="250"/>
      <c r="B186" s="97"/>
      <c r="C186" s="97"/>
      <c r="D186" s="254"/>
      <c r="E186" s="255"/>
      <c r="F186" s="97"/>
      <c r="G186" s="97"/>
      <c r="H186" s="97"/>
      <c r="I186" s="97"/>
    </row>
    <row r="187" spans="1:9" s="241" customFormat="1">
      <c r="A187" s="250"/>
      <c r="B187" s="97"/>
      <c r="C187" s="97"/>
      <c r="D187" s="254"/>
      <c r="E187" s="255"/>
      <c r="F187" s="97"/>
      <c r="G187" s="97"/>
      <c r="H187" s="97"/>
      <c r="I187" s="97"/>
    </row>
    <row r="188" spans="1:9" s="241" customFormat="1">
      <c r="A188" s="250"/>
      <c r="B188" s="97"/>
      <c r="C188" s="97"/>
      <c r="D188" s="254"/>
      <c r="E188" s="255"/>
      <c r="F188" s="97"/>
      <c r="G188" s="97"/>
      <c r="H188" s="97"/>
      <c r="I188" s="97"/>
    </row>
    <row r="189" spans="1:9" s="241" customFormat="1">
      <c r="A189" s="250"/>
      <c r="B189" s="97"/>
      <c r="C189" s="97"/>
      <c r="D189" s="254"/>
      <c r="E189" s="255"/>
      <c r="F189" s="97"/>
      <c r="G189" s="97"/>
      <c r="H189" s="97"/>
      <c r="I189" s="97"/>
    </row>
    <row r="190" spans="1:9" s="241" customFormat="1">
      <c r="A190" s="250"/>
      <c r="B190" s="97"/>
      <c r="C190" s="97"/>
      <c r="D190" s="254"/>
      <c r="E190" s="255"/>
      <c r="F190" s="97"/>
      <c r="G190" s="97"/>
      <c r="H190" s="97"/>
      <c r="I190" s="97"/>
    </row>
    <row r="191" spans="1:9" s="241" customFormat="1">
      <c r="A191" s="250"/>
      <c r="B191" s="97"/>
      <c r="C191" s="97"/>
      <c r="D191" s="254"/>
      <c r="E191" s="255"/>
      <c r="F191" s="97"/>
      <c r="G191" s="97"/>
      <c r="H191" s="97"/>
      <c r="I191" s="97"/>
    </row>
    <row r="192" spans="1:9" s="241" customFormat="1">
      <c r="A192" s="250"/>
      <c r="B192" s="97"/>
      <c r="C192" s="97"/>
      <c r="D192" s="254"/>
      <c r="E192" s="255"/>
      <c r="F192" s="97"/>
      <c r="G192" s="97"/>
      <c r="H192" s="97"/>
      <c r="I192" s="97"/>
    </row>
    <row r="193" spans="1:9" s="241" customFormat="1">
      <c r="A193" s="250"/>
      <c r="B193" s="97"/>
      <c r="C193" s="97"/>
      <c r="D193" s="254"/>
      <c r="E193" s="255"/>
      <c r="F193" s="97"/>
      <c r="G193" s="97"/>
      <c r="H193" s="97"/>
      <c r="I193" s="97"/>
    </row>
    <row r="194" spans="1:9" s="241" customFormat="1">
      <c r="A194" s="250"/>
      <c r="B194" s="97"/>
      <c r="C194" s="97"/>
      <c r="D194" s="254"/>
      <c r="E194" s="255"/>
      <c r="F194" s="97"/>
      <c r="G194" s="97"/>
      <c r="H194" s="97"/>
      <c r="I194" s="97"/>
    </row>
    <row r="195" spans="1:9" s="241" customFormat="1">
      <c r="A195" s="250"/>
      <c r="B195" s="97"/>
      <c r="C195" s="97"/>
      <c r="D195" s="254"/>
      <c r="E195" s="255"/>
      <c r="F195" s="97"/>
      <c r="G195" s="97"/>
      <c r="H195" s="97"/>
      <c r="I195" s="97"/>
    </row>
    <row r="196" spans="1:9" s="241" customFormat="1">
      <c r="A196" s="250"/>
      <c r="B196" s="97"/>
      <c r="C196" s="97"/>
      <c r="D196" s="254"/>
      <c r="E196" s="255"/>
      <c r="F196" s="97"/>
      <c r="G196" s="97"/>
      <c r="H196" s="97"/>
      <c r="I196" s="97"/>
    </row>
    <row r="197" spans="1:9" s="241" customFormat="1">
      <c r="A197" s="250"/>
      <c r="B197" s="97"/>
      <c r="C197" s="97"/>
      <c r="D197" s="254"/>
      <c r="E197" s="255"/>
      <c r="F197" s="97"/>
      <c r="G197" s="97"/>
      <c r="H197" s="97"/>
      <c r="I197" s="97"/>
    </row>
    <row r="198" spans="1:9" s="241" customFormat="1">
      <c r="A198" s="250"/>
      <c r="B198" s="97"/>
      <c r="C198" s="97"/>
      <c r="D198" s="254"/>
      <c r="E198" s="255"/>
      <c r="F198" s="97"/>
      <c r="G198" s="97"/>
      <c r="H198" s="97"/>
      <c r="I198" s="97"/>
    </row>
    <row r="199" spans="1:9" s="241" customFormat="1">
      <c r="A199" s="250"/>
      <c r="B199" s="97"/>
      <c r="C199" s="97"/>
      <c r="D199" s="254"/>
      <c r="E199" s="255"/>
      <c r="F199" s="97"/>
      <c r="G199" s="97"/>
      <c r="H199" s="97"/>
      <c r="I199" s="97"/>
    </row>
    <row r="200" spans="1:9" s="241" customFormat="1">
      <c r="A200" s="250"/>
      <c r="B200" s="97"/>
      <c r="C200" s="97"/>
      <c r="D200" s="254"/>
      <c r="E200" s="255"/>
      <c r="F200" s="97"/>
      <c r="G200" s="97"/>
      <c r="H200" s="97"/>
      <c r="I200" s="97"/>
    </row>
    <row r="201" spans="1:9" s="241" customFormat="1">
      <c r="A201" s="250"/>
      <c r="B201" s="97"/>
      <c r="C201" s="97"/>
      <c r="D201" s="254"/>
      <c r="E201" s="255"/>
      <c r="F201" s="97"/>
      <c r="G201" s="97"/>
      <c r="H201" s="97"/>
      <c r="I201" s="97"/>
    </row>
    <row r="202" spans="1:9" s="241" customFormat="1">
      <c r="A202" s="250"/>
      <c r="B202" s="97"/>
      <c r="C202" s="97"/>
      <c r="D202" s="254"/>
      <c r="E202" s="255"/>
      <c r="F202" s="97"/>
      <c r="G202" s="97"/>
      <c r="H202" s="97"/>
      <c r="I202" s="97"/>
    </row>
    <row r="203" spans="1:9" s="241" customFormat="1">
      <c r="A203" s="250"/>
      <c r="B203" s="97"/>
      <c r="C203" s="97"/>
      <c r="D203" s="254"/>
      <c r="E203" s="255"/>
      <c r="F203" s="97"/>
      <c r="G203" s="97"/>
      <c r="H203" s="97"/>
      <c r="I203" s="97"/>
    </row>
    <row r="204" spans="1:9" s="241" customFormat="1">
      <c r="A204" s="250"/>
      <c r="B204" s="97"/>
      <c r="C204" s="97"/>
      <c r="D204" s="254"/>
      <c r="E204" s="255"/>
      <c r="F204" s="97"/>
      <c r="G204" s="97"/>
      <c r="H204" s="97"/>
      <c r="I204" s="97"/>
    </row>
    <row r="205" spans="1:9" s="241" customFormat="1">
      <c r="A205" s="250"/>
      <c r="B205" s="97"/>
      <c r="C205" s="97"/>
      <c r="D205" s="254"/>
      <c r="E205" s="255"/>
      <c r="F205" s="97"/>
      <c r="G205" s="97"/>
      <c r="H205" s="97"/>
      <c r="I205" s="97"/>
    </row>
    <row r="206" spans="1:9" s="241" customFormat="1">
      <c r="A206" s="250"/>
      <c r="B206" s="97"/>
      <c r="C206" s="97"/>
      <c r="D206" s="254"/>
      <c r="E206" s="255"/>
      <c r="F206" s="97"/>
      <c r="G206" s="97"/>
      <c r="H206" s="97"/>
      <c r="I206" s="97"/>
    </row>
    <row r="207" spans="1:9" s="241" customFormat="1">
      <c r="A207" s="250"/>
      <c r="B207" s="97"/>
      <c r="C207" s="97"/>
      <c r="D207" s="254"/>
      <c r="E207" s="255"/>
      <c r="F207" s="97"/>
      <c r="G207" s="97"/>
      <c r="H207" s="97"/>
      <c r="I207" s="97"/>
    </row>
    <row r="208" spans="1:9" s="241" customFormat="1">
      <c r="A208" s="250"/>
      <c r="B208" s="97"/>
      <c r="C208" s="97"/>
      <c r="D208" s="254"/>
      <c r="E208" s="255"/>
      <c r="F208" s="97"/>
      <c r="G208" s="97"/>
      <c r="H208" s="97"/>
      <c r="I208" s="97"/>
    </row>
  </sheetData>
  <mergeCells count="7">
    <mergeCell ref="H3:I3"/>
    <mergeCell ref="B62:C62"/>
    <mergeCell ref="B72:C72"/>
    <mergeCell ref="A2:F2"/>
    <mergeCell ref="D3:D4"/>
    <mergeCell ref="E3:E4"/>
    <mergeCell ref="F3:F4"/>
  </mergeCells>
  <pageMargins left="0.35433070866141736" right="0.15748031496062992" top="0.98425196850393704" bottom="0.39370078740157483" header="0.51181102362204722" footer="0.51181102362204722"/>
  <pageSetup paperSize="9" scale="75" fitToHeight="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2"/>
  <sheetViews>
    <sheetView showZeros="0" zoomScaleNormal="100" workbookViewId="0">
      <selection activeCell="N32" sqref="N32"/>
    </sheetView>
  </sheetViews>
  <sheetFormatPr defaultRowHeight="15"/>
  <cols>
    <col min="1" max="1" width="5.140625" style="1" customWidth="1"/>
    <col min="2" max="2" width="45.85546875" style="4" customWidth="1"/>
    <col min="3" max="3" width="4" style="3" customWidth="1"/>
    <col min="4" max="4" width="11.42578125" style="2" hidden="1" customWidth="1"/>
    <col min="5" max="5" width="12.85546875" style="1" customWidth="1"/>
    <col min="6" max="6" width="11.85546875" style="1" customWidth="1"/>
    <col min="7" max="7" width="11" style="1" hidden="1" customWidth="1"/>
    <col min="8" max="8" width="8.5703125" style="1" customWidth="1"/>
    <col min="9" max="9" width="10.140625" style="1" bestFit="1" customWidth="1"/>
    <col min="10" max="10" width="10.85546875" style="1" hidden="1" customWidth="1"/>
    <col min="11" max="11" width="11" style="1" customWidth="1"/>
    <col min="12" max="12" width="14.42578125" style="1" customWidth="1"/>
    <col min="13" max="16384" width="9.140625" style="1"/>
  </cols>
  <sheetData>
    <row r="1" spans="1:13">
      <c r="B1" s="271" t="s">
        <v>236</v>
      </c>
      <c r="C1" s="271"/>
      <c r="D1" s="271"/>
    </row>
    <row r="2" spans="1:13">
      <c r="B2" s="92" t="s">
        <v>235</v>
      </c>
      <c r="C2" s="91"/>
      <c r="D2" s="90"/>
    </row>
    <row r="3" spans="1:13" ht="30">
      <c r="B3" s="89"/>
      <c r="C3" s="88"/>
      <c r="D3" s="87" t="s">
        <v>234</v>
      </c>
      <c r="E3" s="10" t="s">
        <v>233</v>
      </c>
      <c r="F3" s="10" t="s">
        <v>223</v>
      </c>
      <c r="G3" s="72" t="s">
        <v>222</v>
      </c>
      <c r="H3" s="72" t="s">
        <v>221</v>
      </c>
      <c r="J3" s="1" t="s">
        <v>232</v>
      </c>
    </row>
    <row r="4" spans="1:13">
      <c r="B4" s="86" t="s">
        <v>231</v>
      </c>
      <c r="C4" s="85"/>
      <c r="D4" s="84">
        <f>SUM(D5,D7,D8)</f>
        <v>26939763</v>
      </c>
      <c r="E4" s="84">
        <f ca="1">SUM(E5,E7,E8)</f>
        <v>29024400</v>
      </c>
      <c r="F4" s="84">
        <f>SUM(F5,F7,F8)</f>
        <v>24629675.75</v>
      </c>
      <c r="G4" s="84">
        <f>SUM(G5,G7,G8)</f>
        <v>2835792.9999999991</v>
      </c>
      <c r="H4" s="5">
        <f ca="1">ROUND(F4/E4*100,1)</f>
        <v>84.9</v>
      </c>
      <c r="I4" s="6"/>
      <c r="J4" s="6"/>
      <c r="K4" s="6"/>
      <c r="L4" s="6"/>
      <c r="M4" s="6"/>
    </row>
    <row r="5" spans="1:13">
      <c r="B5" s="58" t="s">
        <v>230</v>
      </c>
      <c r="C5" s="83" t="s">
        <v>0</v>
      </c>
      <c r="D5" s="7">
        <f>SUMIF($C13:$C230,$C5,D13:D230)</f>
        <v>24834383</v>
      </c>
      <c r="E5" s="7">
        <f>SUMIF($C13:$C231,$C5,E13:E231)</f>
        <v>27218063</v>
      </c>
      <c r="F5" s="7">
        <f>SUMIF($C13:$C231,$C5,F13:F231)</f>
        <v>22911033.260000002</v>
      </c>
      <c r="G5" s="7">
        <f>SUMIF($C13:$C231,$C5,G13:G231)</f>
        <v>2777370.5399999991</v>
      </c>
      <c r="H5" s="5">
        <f>ROUND(F5/E5*100,1)</f>
        <v>84.2</v>
      </c>
    </row>
    <row r="6" spans="1:13">
      <c r="B6" s="58" t="s">
        <v>229</v>
      </c>
      <c r="C6" s="83"/>
      <c r="D6" s="7">
        <f>SUM(D29,D86,D89,D117,D126,D204,D214)</f>
        <v>15656965</v>
      </c>
      <c r="E6" s="7">
        <f>SUM(E29,E86,E89,E117,E126,E204,E68,E195)</f>
        <v>15823545</v>
      </c>
      <c r="F6" s="7">
        <f>SUM(F29,F86,F89,F117,F126,F204,F68,F195)</f>
        <v>13335137</v>
      </c>
      <c r="G6" s="7">
        <f>SUM(G29,G86,G89,G117,G126,G204,G68,G195)</f>
        <v>1541274.05</v>
      </c>
      <c r="H6" s="72">
        <f>ROUND(F6/E6*100,1)</f>
        <v>84.3</v>
      </c>
    </row>
    <row r="7" spans="1:13" ht="24.75">
      <c r="B7" s="10" t="s">
        <v>228</v>
      </c>
      <c r="C7" s="8" t="s">
        <v>11</v>
      </c>
      <c r="D7" s="7">
        <f>SUMIF($C13:$C230,$C7,D13:D230)</f>
        <v>768688</v>
      </c>
      <c r="E7" s="7">
        <f>SUMIF($C13:$C231,$C7,E13:E231)</f>
        <v>885662</v>
      </c>
      <c r="F7" s="7">
        <f>SUMIF($C13:$C231,$C7,F13:F231)</f>
        <v>829041</v>
      </c>
      <c r="G7" s="7">
        <f>SUMIF($C13:$C231,$C7,G13:G231)</f>
        <v>24322.75</v>
      </c>
      <c r="H7" s="72">
        <f>ROUND(F7/E7*100,1)</f>
        <v>93.6</v>
      </c>
    </row>
    <row r="8" spans="1:13">
      <c r="B8" s="10" t="s">
        <v>227</v>
      </c>
      <c r="C8" s="8" t="s">
        <v>211</v>
      </c>
      <c r="D8" s="7">
        <f>SUMIF($C13:$C230,$C8,D13:D230)</f>
        <v>1336692</v>
      </c>
      <c r="E8" s="7">
        <f ca="1">SUMIF($C13:$C231,$C8,E13:E230)</f>
        <v>920675</v>
      </c>
      <c r="F8" s="7">
        <f>SUMIF($C13:$C230,$C8,F13:F231)</f>
        <v>889601.48999999987</v>
      </c>
      <c r="G8" s="7">
        <f>SUMIF($C13:$C230,$C8,G13:G231)</f>
        <v>34099.71</v>
      </c>
      <c r="H8" s="72">
        <f ca="1">ROUND(F8/E8*100,1)</f>
        <v>96.6</v>
      </c>
    </row>
    <row r="9" spans="1:13" ht="9" customHeight="1">
      <c r="B9" s="82"/>
      <c r="C9" s="81"/>
      <c r="D9" s="80"/>
      <c r="F9" s="6"/>
      <c r="G9" s="6"/>
    </row>
    <row r="10" spans="1:13">
      <c r="B10" s="272" t="s">
        <v>226</v>
      </c>
      <c r="C10" s="272"/>
      <c r="D10" s="272"/>
      <c r="F10" s="6"/>
      <c r="G10" s="6"/>
    </row>
    <row r="11" spans="1:13" ht="9" customHeight="1">
      <c r="B11" s="79"/>
      <c r="C11" s="78"/>
      <c r="D11" s="77"/>
      <c r="F11" s="6"/>
      <c r="G11" s="6"/>
    </row>
    <row r="12" spans="1:13" ht="27" customHeight="1">
      <c r="B12" s="76"/>
      <c r="C12" s="75"/>
      <c r="D12" s="74" t="s">
        <v>225</v>
      </c>
      <c r="E12" s="74" t="s">
        <v>224</v>
      </c>
      <c r="F12" s="73" t="s">
        <v>223</v>
      </c>
      <c r="G12" s="7" t="s">
        <v>222</v>
      </c>
      <c r="H12" s="72" t="s">
        <v>221</v>
      </c>
    </row>
    <row r="13" spans="1:13" ht="25.5" customHeight="1">
      <c r="B13" s="15" t="s">
        <v>220</v>
      </c>
      <c r="C13" s="14"/>
      <c r="D13" s="16">
        <f>SUM(D14)</f>
        <v>1506692</v>
      </c>
      <c r="E13" s="16">
        <f>SUM(E14)</f>
        <v>950675</v>
      </c>
      <c r="F13" s="16">
        <f>SUM(F14)</f>
        <v>910135.48999999987</v>
      </c>
      <c r="G13" s="16">
        <f>SUM(G14)</f>
        <v>39019.71</v>
      </c>
      <c r="H13" s="17">
        <f t="shared" ref="H13:H20" si="0">ROUND(F13/E13*100,1)</f>
        <v>95.7</v>
      </c>
      <c r="J13" s="71">
        <f>SUM(E89,E153,E204,E195)</f>
        <v>3992336</v>
      </c>
      <c r="K13" s="6"/>
      <c r="L13" s="6"/>
    </row>
    <row r="14" spans="1:13">
      <c r="B14" s="15" t="s">
        <v>219</v>
      </c>
      <c r="C14" s="14"/>
      <c r="D14" s="11">
        <f>SUM(D15:D21)</f>
        <v>1506692</v>
      </c>
      <c r="E14" s="11">
        <f>SUM(E15:E20)</f>
        <v>950675</v>
      </c>
      <c r="F14" s="11">
        <f>SUM(F15:F20)</f>
        <v>910135.48999999987</v>
      </c>
      <c r="G14" s="11">
        <f>SUM(G15:G20)</f>
        <v>39019.71</v>
      </c>
      <c r="H14" s="5">
        <f t="shared" si="0"/>
        <v>95.7</v>
      </c>
      <c r="J14" s="68">
        <f>SUM(E88,E92,E119,E139,E140,E141,E142,E151,E152,E165,E163,E167,E178,E179,E180,E181,E182,E183,E184,E185,E186,E188,E189,E190,E191,E193,E194,E196,E197,E200,E201,E202,E203,E205,E207,E209,E211,E219,E228,E230,E231,E157,E168)</f>
        <v>5062782</v>
      </c>
      <c r="K14" s="68"/>
      <c r="L14" s="68"/>
      <c r="M14" s="60"/>
    </row>
    <row r="15" spans="1:13">
      <c r="A15" s="1" t="s">
        <v>68</v>
      </c>
      <c r="B15" s="10" t="s">
        <v>218</v>
      </c>
      <c r="C15" s="8" t="s">
        <v>211</v>
      </c>
      <c r="D15" s="7">
        <v>986000</v>
      </c>
      <c r="E15" s="7">
        <f>986000-400000</f>
        <v>586000</v>
      </c>
      <c r="F15" s="7">
        <v>555813.19999999995</v>
      </c>
      <c r="G15" s="7">
        <v>5910.67</v>
      </c>
      <c r="H15" s="5">
        <f t="shared" si="0"/>
        <v>94.8</v>
      </c>
      <c r="J15" s="6"/>
      <c r="K15" s="6"/>
      <c r="L15" s="6"/>
    </row>
    <row r="16" spans="1:13" ht="30">
      <c r="A16" s="1" t="s">
        <v>13</v>
      </c>
      <c r="B16" s="10" t="s">
        <v>217</v>
      </c>
      <c r="C16" s="8" t="s">
        <v>211</v>
      </c>
      <c r="D16" s="7">
        <v>347843</v>
      </c>
      <c r="E16" s="7">
        <f>347843-13089-9542</f>
        <v>325212</v>
      </c>
      <c r="F16" s="7">
        <v>325211.42</v>
      </c>
      <c r="G16" s="7">
        <v>28028.98</v>
      </c>
      <c r="H16" s="5">
        <f t="shared" si="0"/>
        <v>100</v>
      </c>
      <c r="J16" s="70">
        <f>SUM(E29,E68,E86,E117,E126)</f>
        <v>11996209</v>
      </c>
      <c r="K16" s="6"/>
      <c r="L16" s="6"/>
    </row>
    <row r="17" spans="1:13">
      <c r="A17" s="1" t="s">
        <v>62</v>
      </c>
      <c r="B17" s="10" t="s">
        <v>216</v>
      </c>
      <c r="C17" s="8" t="s">
        <v>211</v>
      </c>
      <c r="D17" s="7">
        <v>1499</v>
      </c>
      <c r="E17" s="7">
        <f>1499+270</f>
        <v>1769</v>
      </c>
      <c r="F17" s="7">
        <v>883.27</v>
      </c>
      <c r="G17" s="7">
        <v>65.06</v>
      </c>
      <c r="H17" s="5">
        <f t="shared" si="0"/>
        <v>49.9</v>
      </c>
      <c r="J17" s="68"/>
      <c r="K17" s="68"/>
      <c r="L17" s="68"/>
    </row>
    <row r="18" spans="1:13">
      <c r="A18" s="1" t="s">
        <v>13</v>
      </c>
      <c r="B18" s="10" t="s">
        <v>215</v>
      </c>
      <c r="C18" s="8" t="s">
        <v>211</v>
      </c>
      <c r="D18" s="7">
        <v>1350</v>
      </c>
      <c r="E18" s="7">
        <v>1350</v>
      </c>
      <c r="F18" s="7">
        <v>1349.6</v>
      </c>
      <c r="G18" s="7">
        <v>95</v>
      </c>
      <c r="H18" s="5">
        <f t="shared" si="0"/>
        <v>100</v>
      </c>
      <c r="J18" s="6"/>
    </row>
    <row r="19" spans="1:13">
      <c r="A19" s="1" t="s">
        <v>214</v>
      </c>
      <c r="B19" s="10" t="s">
        <v>213</v>
      </c>
      <c r="C19" s="8" t="s">
        <v>0</v>
      </c>
      <c r="D19" s="7">
        <v>30000</v>
      </c>
      <c r="E19" s="7">
        <v>30000</v>
      </c>
      <c r="F19" s="7">
        <v>20534</v>
      </c>
      <c r="G19" s="7">
        <v>4920</v>
      </c>
      <c r="H19" s="5">
        <f t="shared" si="0"/>
        <v>68.400000000000006</v>
      </c>
      <c r="J19" s="68">
        <f>SUM(E28,E30,E31,E32,E33,E34,E35,E37,E38,E39,E40,E41,E42,E48,E61,E73,E74,E78,E81,E85,E102,E105,E107,E116,E123,E124,E125,E127,E128,E129,E130)-100000</f>
        <v>5756848</v>
      </c>
      <c r="K19" s="68"/>
      <c r="L19" s="68"/>
      <c r="M19" s="60"/>
    </row>
    <row r="20" spans="1:13">
      <c r="A20" s="1" t="s">
        <v>145</v>
      </c>
      <c r="B20" s="10" t="s">
        <v>212</v>
      </c>
      <c r="C20" s="8" t="s">
        <v>211</v>
      </c>
      <c r="D20" s="7"/>
      <c r="E20" s="7">
        <v>6344</v>
      </c>
      <c r="F20" s="7">
        <v>6344</v>
      </c>
      <c r="G20" s="7"/>
      <c r="H20" s="5">
        <f t="shared" si="0"/>
        <v>100</v>
      </c>
      <c r="J20" s="68"/>
      <c r="K20" s="68"/>
      <c r="L20" s="68"/>
      <c r="M20" s="60"/>
    </row>
    <row r="21" spans="1:13" ht="30">
      <c r="A21" s="1" t="s">
        <v>68</v>
      </c>
      <c r="B21" s="10" t="s">
        <v>210</v>
      </c>
      <c r="C21" s="8" t="s">
        <v>0</v>
      </c>
      <c r="D21" s="7">
        <v>140000</v>
      </c>
      <c r="E21" s="7"/>
      <c r="F21" s="7"/>
      <c r="G21" s="7"/>
      <c r="H21" s="5"/>
      <c r="J21" s="68"/>
      <c r="K21" s="68"/>
      <c r="L21" s="68"/>
      <c r="M21" s="60"/>
    </row>
    <row r="22" spans="1:13">
      <c r="B22" s="15" t="s">
        <v>209</v>
      </c>
      <c r="C22" s="8"/>
      <c r="D22" s="7"/>
      <c r="E22" s="16">
        <f>SUM(E23)</f>
        <v>30000</v>
      </c>
      <c r="F22" s="16">
        <f>SUM(F23)</f>
        <v>30000</v>
      </c>
      <c r="G22" s="16">
        <f>SUM(G23)</f>
        <v>0</v>
      </c>
      <c r="H22" s="5">
        <f t="shared" ref="H22:H35" si="1">ROUND(F22/E22*100,1)</f>
        <v>100</v>
      </c>
      <c r="J22" s="68"/>
      <c r="K22" s="68"/>
      <c r="L22" s="68"/>
      <c r="M22" s="60"/>
    </row>
    <row r="23" spans="1:13">
      <c r="B23" s="10" t="s">
        <v>208</v>
      </c>
      <c r="C23" s="8"/>
      <c r="D23" s="7"/>
      <c r="E23" s="7">
        <f>SUM(E24)</f>
        <v>30000</v>
      </c>
      <c r="F23" s="7">
        <f>SUM(F24)</f>
        <v>30000</v>
      </c>
      <c r="G23" s="7"/>
      <c r="H23" s="5">
        <f t="shared" si="1"/>
        <v>100</v>
      </c>
      <c r="J23" s="68"/>
      <c r="K23" s="68"/>
      <c r="L23" s="68"/>
      <c r="M23" s="60"/>
    </row>
    <row r="24" spans="1:13" ht="24.75">
      <c r="A24" s="1" t="s">
        <v>68</v>
      </c>
      <c r="B24" s="10" t="s">
        <v>207</v>
      </c>
      <c r="C24" s="8" t="s">
        <v>11</v>
      </c>
      <c r="D24" s="7"/>
      <c r="E24" s="7">
        <v>30000</v>
      </c>
      <c r="F24" s="7">
        <v>30000</v>
      </c>
      <c r="G24" s="7"/>
      <c r="H24" s="5">
        <f t="shared" si="1"/>
        <v>100</v>
      </c>
      <c r="J24" s="68"/>
      <c r="K24" s="68"/>
      <c r="L24" s="68"/>
      <c r="M24" s="60"/>
    </row>
    <row r="25" spans="1:13">
      <c r="B25" s="62" t="s">
        <v>206</v>
      </c>
      <c r="C25" s="47"/>
      <c r="D25" s="16">
        <f>SUM(D26,D84,D87,D90,D92)</f>
        <v>18227946</v>
      </c>
      <c r="E25" s="16">
        <f>SUM(E26,E84,E87,E90,E92)</f>
        <v>18861513</v>
      </c>
      <c r="F25" s="16">
        <f>SUM(F26,F84,F87,F90,F92)</f>
        <v>17503070.030000001</v>
      </c>
      <c r="G25" s="16">
        <f>SUM(G26,G84,G87,G90,G92)</f>
        <v>1410271.5199999996</v>
      </c>
      <c r="H25" s="17">
        <f t="shared" si="1"/>
        <v>92.8</v>
      </c>
    </row>
    <row r="26" spans="1:13">
      <c r="A26" s="1" t="s">
        <v>103</v>
      </c>
      <c r="B26" s="42" t="s">
        <v>205</v>
      </c>
      <c r="C26" s="47"/>
      <c r="D26" s="69">
        <f>SUM(D27,D42:D61,D73,D74,D78,)</f>
        <v>15765771</v>
      </c>
      <c r="E26" s="69">
        <f>SUM(E27,E42:E61,E73,E74,E78,E81)</f>
        <v>16216639</v>
      </c>
      <c r="F26" s="69">
        <f>SUM(F27,F42,F48,F61,F73,F74,F78,F81)</f>
        <v>15408499.940000001</v>
      </c>
      <c r="G26" s="69">
        <f>SUM(G27,G42,G48,G61,G73,G74,G78,G81)</f>
        <v>1180827.8399999999</v>
      </c>
      <c r="H26" s="5">
        <f t="shared" si="1"/>
        <v>95</v>
      </c>
    </row>
    <row r="27" spans="1:13">
      <c r="A27" s="1" t="s">
        <v>103</v>
      </c>
      <c r="B27" s="62" t="s">
        <v>204</v>
      </c>
      <c r="C27" s="47"/>
      <c r="D27" s="16">
        <f>SUM(D28:D38)</f>
        <v>14632130</v>
      </c>
      <c r="E27" s="16">
        <f>SUM(E28:E41)</f>
        <v>13936610</v>
      </c>
      <c r="F27" s="16">
        <f>SUM(F28:F41)</f>
        <v>13199301.48</v>
      </c>
      <c r="G27" s="16">
        <f>SUM(G28:G41)</f>
        <v>1180827.8399999999</v>
      </c>
      <c r="H27" s="5">
        <f t="shared" si="1"/>
        <v>94.7</v>
      </c>
    </row>
    <row r="28" spans="1:13">
      <c r="A28" s="1" t="s">
        <v>103</v>
      </c>
      <c r="B28" s="40" t="s">
        <v>203</v>
      </c>
      <c r="C28" s="39" t="s">
        <v>0</v>
      </c>
      <c r="D28" s="7">
        <f>2183000+130000</f>
        <v>2313000</v>
      </c>
      <c r="E28" s="7">
        <f>2183000+130000-200000</f>
        <v>2113000</v>
      </c>
      <c r="F28" s="7">
        <v>1813362.62</v>
      </c>
      <c r="G28" s="7">
        <v>201961.68</v>
      </c>
      <c r="H28" s="5">
        <f t="shared" si="1"/>
        <v>85.8</v>
      </c>
    </row>
    <row r="29" spans="1:13">
      <c r="A29" s="1" t="s">
        <v>103</v>
      </c>
      <c r="B29" s="55" t="s">
        <v>203</v>
      </c>
      <c r="C29" s="51" t="s">
        <v>0</v>
      </c>
      <c r="D29" s="22">
        <v>11000000</v>
      </c>
      <c r="E29" s="22">
        <v>11000000</v>
      </c>
      <c r="F29" s="36">
        <v>10759701.949999999</v>
      </c>
      <c r="G29" s="36">
        <v>748164.29</v>
      </c>
      <c r="H29" s="27">
        <f t="shared" si="1"/>
        <v>97.8</v>
      </c>
    </row>
    <row r="30" spans="1:13">
      <c r="A30" s="1" t="s">
        <v>103</v>
      </c>
      <c r="B30" s="40" t="s">
        <v>202</v>
      </c>
      <c r="C30" s="39" t="s">
        <v>0</v>
      </c>
      <c r="D30" s="7">
        <f>235130+5000</f>
        <v>240130</v>
      </c>
      <c r="E30" s="7">
        <f>235130+5000</f>
        <v>240130</v>
      </c>
      <c r="F30" s="7">
        <v>238187.2</v>
      </c>
      <c r="G30" s="7"/>
      <c r="H30" s="5">
        <f t="shared" si="1"/>
        <v>99.2</v>
      </c>
    </row>
    <row r="31" spans="1:13" ht="30">
      <c r="A31" s="1" t="s">
        <v>103</v>
      </c>
      <c r="B31" s="40" t="s">
        <v>201</v>
      </c>
      <c r="C31" s="39" t="s">
        <v>0</v>
      </c>
      <c r="D31" s="7">
        <v>443000</v>
      </c>
      <c r="E31" s="7">
        <f>443000-240000-169400</f>
        <v>33600</v>
      </c>
      <c r="F31" s="7">
        <v>33600</v>
      </c>
      <c r="G31" s="7">
        <v>11280</v>
      </c>
      <c r="H31" s="5">
        <f t="shared" si="1"/>
        <v>100</v>
      </c>
    </row>
    <row r="32" spans="1:13" ht="30">
      <c r="A32" s="1" t="s">
        <v>103</v>
      </c>
      <c r="B32" s="40" t="s">
        <v>200</v>
      </c>
      <c r="C32" s="39" t="s">
        <v>0</v>
      </c>
      <c r="D32" s="7">
        <v>540000</v>
      </c>
      <c r="E32" s="7">
        <f>540000-330000-193800</f>
        <v>16200</v>
      </c>
      <c r="F32" s="7">
        <v>16200</v>
      </c>
      <c r="G32" s="7">
        <v>6480</v>
      </c>
      <c r="H32" s="5">
        <f t="shared" si="1"/>
        <v>100</v>
      </c>
    </row>
    <row r="33" spans="1:8">
      <c r="A33" s="1" t="s">
        <v>103</v>
      </c>
      <c r="B33" s="40" t="s">
        <v>199</v>
      </c>
      <c r="C33" s="39" t="s">
        <v>0</v>
      </c>
      <c r="D33" s="7"/>
      <c r="E33" s="7">
        <f>195000+40000</f>
        <v>235000</v>
      </c>
      <c r="F33" s="7">
        <v>73493.399999999994</v>
      </c>
      <c r="G33" s="7">
        <v>62854.44</v>
      </c>
      <c r="H33" s="5">
        <f t="shared" si="1"/>
        <v>31.3</v>
      </c>
    </row>
    <row r="34" spans="1:8" ht="30">
      <c r="A34" s="1" t="s">
        <v>103</v>
      </c>
      <c r="B34" s="40" t="s">
        <v>198</v>
      </c>
      <c r="C34" s="39" t="s">
        <v>0</v>
      </c>
      <c r="D34" s="7">
        <v>36000</v>
      </c>
      <c r="E34" s="7">
        <f>36000+41980</f>
        <v>77980</v>
      </c>
      <c r="F34" s="7">
        <v>79112.88</v>
      </c>
      <c r="G34" s="7"/>
      <c r="H34" s="5">
        <f t="shared" si="1"/>
        <v>101.5</v>
      </c>
    </row>
    <row r="35" spans="1:8">
      <c r="A35" s="1" t="s">
        <v>103</v>
      </c>
      <c r="B35" s="40" t="s">
        <v>197</v>
      </c>
      <c r="C35" s="39" t="s">
        <v>0</v>
      </c>
      <c r="D35" s="7">
        <v>30000</v>
      </c>
      <c r="E35" s="7">
        <f>30000+50700</f>
        <v>80700</v>
      </c>
      <c r="F35" s="7">
        <v>79281.429999999993</v>
      </c>
      <c r="G35" s="7">
        <v>74961.429999999993</v>
      </c>
      <c r="H35" s="5">
        <f t="shared" si="1"/>
        <v>98.2</v>
      </c>
    </row>
    <row r="36" spans="1:8">
      <c r="A36" s="1" t="s">
        <v>103</v>
      </c>
      <c r="B36" s="40" t="s">
        <v>196</v>
      </c>
      <c r="C36" s="39" t="s">
        <v>0</v>
      </c>
      <c r="D36" s="7"/>
      <c r="E36" s="7">
        <v>10000</v>
      </c>
      <c r="F36" s="7">
        <v>7533.6</v>
      </c>
      <c r="G36" s="7">
        <v>7533.6</v>
      </c>
      <c r="H36" s="5"/>
    </row>
    <row r="37" spans="1:8">
      <c r="A37" s="1" t="s">
        <v>103</v>
      </c>
      <c r="B37" s="40" t="s">
        <v>195</v>
      </c>
      <c r="C37" s="39" t="s">
        <v>0</v>
      </c>
      <c r="D37" s="7"/>
      <c r="E37" s="7">
        <v>15000</v>
      </c>
      <c r="F37" s="7">
        <v>15000</v>
      </c>
      <c r="G37" s="7">
        <v>15000</v>
      </c>
      <c r="H37" s="5">
        <f t="shared" ref="H37:H42" si="2">ROUND(F37/E37*100,1)</f>
        <v>100</v>
      </c>
    </row>
    <row r="38" spans="1:8" ht="30">
      <c r="A38" s="1" t="s">
        <v>103</v>
      </c>
      <c r="B38" s="40" t="s">
        <v>194</v>
      </c>
      <c r="C38" s="39" t="s">
        <v>0</v>
      </c>
      <c r="D38" s="7">
        <v>30000</v>
      </c>
      <c r="E38" s="7">
        <v>30000</v>
      </c>
      <c r="F38" s="7">
        <v>21696</v>
      </c>
      <c r="G38" s="7">
        <v>11820</v>
      </c>
      <c r="H38" s="5">
        <f t="shared" si="2"/>
        <v>72.3</v>
      </c>
    </row>
    <row r="39" spans="1:8">
      <c r="A39" s="1" t="s">
        <v>103</v>
      </c>
      <c r="B39" s="40" t="s">
        <v>193</v>
      </c>
      <c r="C39" s="39" t="s">
        <v>0</v>
      </c>
      <c r="D39" s="7"/>
      <c r="E39" s="7">
        <f>40000-10000</f>
        <v>30000</v>
      </c>
      <c r="F39" s="7">
        <v>32640</v>
      </c>
      <c r="G39" s="7">
        <v>23040</v>
      </c>
      <c r="H39" s="5">
        <f t="shared" si="2"/>
        <v>108.8</v>
      </c>
    </row>
    <row r="40" spans="1:8">
      <c r="A40" s="1" t="s">
        <v>103</v>
      </c>
      <c r="B40" s="40" t="s">
        <v>192</v>
      </c>
      <c r="C40" s="39" t="s">
        <v>0</v>
      </c>
      <c r="D40" s="7"/>
      <c r="E40" s="7">
        <v>40000</v>
      </c>
      <c r="F40" s="7">
        <v>17732.400000000001</v>
      </c>
      <c r="G40" s="7">
        <v>17732.400000000001</v>
      </c>
      <c r="H40" s="5">
        <f t="shared" si="2"/>
        <v>44.3</v>
      </c>
    </row>
    <row r="41" spans="1:8">
      <c r="A41" s="1" t="s">
        <v>103</v>
      </c>
      <c r="B41" s="40" t="s">
        <v>191</v>
      </c>
      <c r="C41" s="39" t="s">
        <v>0</v>
      </c>
      <c r="D41" s="7"/>
      <c r="E41" s="7">
        <v>15000</v>
      </c>
      <c r="F41" s="7">
        <v>11760</v>
      </c>
      <c r="G41" s="7"/>
      <c r="H41" s="5">
        <f t="shared" si="2"/>
        <v>78.400000000000006</v>
      </c>
    </row>
    <row r="42" spans="1:8" ht="24.75">
      <c r="A42" s="1" t="s">
        <v>103</v>
      </c>
      <c r="B42" s="62" t="s">
        <v>190</v>
      </c>
      <c r="C42" s="47" t="s">
        <v>0</v>
      </c>
      <c r="D42" s="16">
        <v>64000</v>
      </c>
      <c r="E42" s="16">
        <v>64000</v>
      </c>
      <c r="F42" s="16">
        <f>SUM(F43:F47)</f>
        <v>63212.1</v>
      </c>
      <c r="G42" s="16"/>
      <c r="H42" s="5">
        <f t="shared" si="2"/>
        <v>98.8</v>
      </c>
    </row>
    <row r="43" spans="1:8">
      <c r="B43" s="40" t="s">
        <v>189</v>
      </c>
      <c r="C43" s="39"/>
      <c r="D43" s="7"/>
      <c r="E43" s="7"/>
      <c r="F43" s="7">
        <v>7643.8</v>
      </c>
      <c r="G43" s="7"/>
      <c r="H43" s="5"/>
    </row>
    <row r="44" spans="1:8">
      <c r="B44" s="40" t="s">
        <v>188</v>
      </c>
      <c r="C44" s="39"/>
      <c r="D44" s="7"/>
      <c r="E44" s="7"/>
      <c r="F44" s="7">
        <v>1863.85</v>
      </c>
      <c r="G44" s="7"/>
      <c r="H44" s="5"/>
    </row>
    <row r="45" spans="1:8">
      <c r="B45" s="40" t="s">
        <v>187</v>
      </c>
      <c r="C45" s="39"/>
      <c r="D45" s="7"/>
      <c r="E45" s="7"/>
      <c r="F45" s="7">
        <v>7455.42</v>
      </c>
      <c r="G45" s="7"/>
      <c r="H45" s="5"/>
    </row>
    <row r="46" spans="1:8">
      <c r="B46" s="40" t="s">
        <v>186</v>
      </c>
      <c r="C46" s="39"/>
      <c r="D46" s="7"/>
      <c r="E46" s="7"/>
      <c r="F46" s="7">
        <v>16989</v>
      </c>
      <c r="G46" s="7"/>
      <c r="H46" s="5"/>
    </row>
    <row r="47" spans="1:8">
      <c r="B47" s="40" t="s">
        <v>185</v>
      </c>
      <c r="C47" s="39"/>
      <c r="D47" s="7"/>
      <c r="E47" s="7"/>
      <c r="F47" s="7">
        <v>29260.03</v>
      </c>
      <c r="G47" s="7"/>
      <c r="H47" s="5"/>
    </row>
    <row r="48" spans="1:8" ht="24.75">
      <c r="A48" s="1" t="s">
        <v>103</v>
      </c>
      <c r="B48" s="62" t="s">
        <v>184</v>
      </c>
      <c r="C48" s="47" t="s">
        <v>0</v>
      </c>
      <c r="D48" s="16">
        <v>650000</v>
      </c>
      <c r="E48" s="16">
        <v>650000</v>
      </c>
      <c r="F48" s="68">
        <f>SUM(F49:F60)</f>
        <v>635241.38</v>
      </c>
      <c r="G48" s="68">
        <f>SUM(G49:G60)</f>
        <v>0</v>
      </c>
      <c r="H48" s="17">
        <f>ROUND(F48/E48*100,1)</f>
        <v>97.7</v>
      </c>
    </row>
    <row r="49" spans="1:8">
      <c r="B49" s="40" t="s">
        <v>183</v>
      </c>
      <c r="C49" s="47"/>
      <c r="D49" s="16"/>
      <c r="E49" s="16"/>
      <c r="F49" s="6">
        <v>20946</v>
      </c>
      <c r="G49" s="6"/>
      <c r="H49" s="5"/>
    </row>
    <row r="50" spans="1:8">
      <c r="B50" s="40" t="s">
        <v>182</v>
      </c>
      <c r="C50" s="47"/>
      <c r="D50" s="16"/>
      <c r="E50" s="16"/>
      <c r="F50" s="6">
        <v>45874.74</v>
      </c>
      <c r="G50" s="6"/>
      <c r="H50" s="5"/>
    </row>
    <row r="51" spans="1:8">
      <c r="B51" s="40" t="s">
        <v>181</v>
      </c>
      <c r="C51" s="47"/>
      <c r="D51" s="16"/>
      <c r="E51" s="16"/>
      <c r="F51" s="6">
        <v>33553.199999999997</v>
      </c>
      <c r="G51" s="6"/>
      <c r="H51" s="5"/>
    </row>
    <row r="52" spans="1:8">
      <c r="B52" s="40" t="s">
        <v>180</v>
      </c>
      <c r="C52" s="47"/>
      <c r="D52" s="16"/>
      <c r="E52" s="16"/>
      <c r="F52" s="6">
        <v>33036</v>
      </c>
      <c r="G52" s="6"/>
      <c r="H52" s="5"/>
    </row>
    <row r="53" spans="1:8">
      <c r="B53" s="40" t="s">
        <v>179</v>
      </c>
      <c r="C53" s="47"/>
      <c r="D53" s="16"/>
      <c r="E53" s="16"/>
      <c r="F53" s="6">
        <v>132726</v>
      </c>
      <c r="G53" s="6"/>
      <c r="H53" s="5"/>
    </row>
    <row r="54" spans="1:8">
      <c r="B54" s="40" t="s">
        <v>178</v>
      </c>
      <c r="C54" s="39"/>
      <c r="D54" s="7"/>
      <c r="E54" s="7"/>
      <c r="F54" s="7">
        <v>195101.82</v>
      </c>
      <c r="G54" s="7"/>
      <c r="H54" s="5"/>
    </row>
    <row r="55" spans="1:8">
      <c r="B55" s="40" t="s">
        <v>177</v>
      </c>
      <c r="C55" s="39"/>
      <c r="D55" s="7"/>
      <c r="E55" s="7"/>
      <c r="F55" s="7">
        <v>16421.400000000001</v>
      </c>
      <c r="G55" s="7"/>
      <c r="H55" s="5"/>
    </row>
    <row r="56" spans="1:8">
      <c r="B56" s="40" t="s">
        <v>176</v>
      </c>
      <c r="C56" s="39"/>
      <c r="D56" s="7"/>
      <c r="E56" s="7"/>
      <c r="F56" s="7">
        <v>27363</v>
      </c>
      <c r="G56" s="7"/>
      <c r="H56" s="5"/>
    </row>
    <row r="57" spans="1:8">
      <c r="B57" s="40" t="s">
        <v>175</v>
      </c>
      <c r="C57" s="39"/>
      <c r="D57" s="7"/>
      <c r="E57" s="7"/>
      <c r="F57" s="7">
        <v>27660</v>
      </c>
      <c r="G57" s="7"/>
      <c r="H57" s="5"/>
    </row>
    <row r="58" spans="1:8">
      <c r="B58" s="40" t="s">
        <v>174</v>
      </c>
      <c r="C58" s="39"/>
      <c r="D58" s="7"/>
      <c r="E58" s="7"/>
      <c r="F58" s="7">
        <v>19198.62</v>
      </c>
      <c r="G58" s="7"/>
      <c r="H58" s="5"/>
    </row>
    <row r="59" spans="1:8">
      <c r="B59" s="40" t="s">
        <v>173</v>
      </c>
      <c r="C59" s="39"/>
      <c r="D59" s="7"/>
      <c r="E59" s="7"/>
      <c r="F59" s="7">
        <v>44711.6</v>
      </c>
      <c r="G59" s="7"/>
      <c r="H59" s="5"/>
    </row>
    <row r="60" spans="1:8">
      <c r="B60" s="40" t="s">
        <v>172</v>
      </c>
      <c r="C60" s="39"/>
      <c r="D60" s="7"/>
      <c r="E60" s="7"/>
      <c r="F60" s="7">
        <v>38649</v>
      </c>
      <c r="G60" s="7"/>
      <c r="H60" s="5"/>
    </row>
    <row r="61" spans="1:8" ht="24.75">
      <c r="A61" s="1" t="s">
        <v>103</v>
      </c>
      <c r="B61" s="62" t="s">
        <v>171</v>
      </c>
      <c r="C61" s="47" t="s">
        <v>0</v>
      </c>
      <c r="D61" s="16">
        <v>200000</v>
      </c>
      <c r="E61" s="16">
        <f>200000+50000+100000+110000</f>
        <v>460000</v>
      </c>
      <c r="F61" s="16">
        <f>SUM(F62:F72)</f>
        <v>430856.68</v>
      </c>
      <c r="G61" s="16">
        <f>SUM(G62:G72)</f>
        <v>0</v>
      </c>
      <c r="H61" s="5">
        <f>ROUND(F61/E61*100,1)</f>
        <v>93.7</v>
      </c>
    </row>
    <row r="62" spans="1:8">
      <c r="B62" s="40" t="s">
        <v>170</v>
      </c>
      <c r="C62" s="39"/>
      <c r="D62" s="7"/>
      <c r="E62" s="7"/>
      <c r="F62" s="7">
        <v>31436.48</v>
      </c>
      <c r="G62" s="7"/>
      <c r="H62" s="5"/>
    </row>
    <row r="63" spans="1:8">
      <c r="B63" s="40" t="s">
        <v>169</v>
      </c>
      <c r="C63" s="39"/>
      <c r="D63" s="7"/>
      <c r="E63" s="7"/>
      <c r="F63" s="7">
        <v>71214.539999999994</v>
      </c>
      <c r="G63" s="7"/>
      <c r="H63" s="5"/>
    </row>
    <row r="64" spans="1:8">
      <c r="B64" s="40" t="s">
        <v>168</v>
      </c>
      <c r="C64" s="39"/>
      <c r="D64" s="7"/>
      <c r="E64" s="7"/>
      <c r="F64" s="7">
        <v>14765.52</v>
      </c>
      <c r="G64" s="7"/>
      <c r="H64" s="5"/>
    </row>
    <row r="65" spans="1:8">
      <c r="B65" s="40" t="s">
        <v>167</v>
      </c>
      <c r="C65" s="39"/>
      <c r="D65" s="7"/>
      <c r="E65" s="7"/>
      <c r="F65" s="7">
        <v>11699.78</v>
      </c>
      <c r="G65" s="7"/>
      <c r="H65" s="5"/>
    </row>
    <row r="66" spans="1:8">
      <c r="B66" s="67" t="s">
        <v>166</v>
      </c>
      <c r="C66" s="48"/>
      <c r="D66" s="9"/>
      <c r="E66" s="9"/>
      <c r="F66" s="9">
        <v>37523.660000000003</v>
      </c>
      <c r="G66" s="9"/>
      <c r="H66" s="5"/>
    </row>
    <row r="67" spans="1:8">
      <c r="B67" s="67" t="s">
        <v>165</v>
      </c>
      <c r="C67" s="48"/>
      <c r="D67" s="9"/>
      <c r="E67" s="9"/>
      <c r="F67" s="9">
        <v>70806.960000000006</v>
      </c>
      <c r="G67" s="9"/>
      <c r="H67" s="5"/>
    </row>
    <row r="68" spans="1:8">
      <c r="B68" s="55" t="s">
        <v>165</v>
      </c>
      <c r="C68" s="51"/>
      <c r="D68" s="66"/>
      <c r="E68" s="22">
        <v>100000</v>
      </c>
      <c r="F68" s="66">
        <v>100000</v>
      </c>
      <c r="G68" s="66"/>
      <c r="H68" s="27">
        <f>ROUND(F68/E68*100,1)</f>
        <v>100</v>
      </c>
    </row>
    <row r="69" spans="1:8" ht="15.75">
      <c r="B69" s="40" t="s">
        <v>164</v>
      </c>
      <c r="C69" s="39"/>
      <c r="D69" s="16"/>
      <c r="E69" s="7"/>
      <c r="F69" s="65">
        <v>8698.94</v>
      </c>
      <c r="G69" s="65"/>
      <c r="H69" s="64"/>
    </row>
    <row r="70" spans="1:8" ht="15.75">
      <c r="B70" s="40" t="s">
        <v>163</v>
      </c>
      <c r="C70" s="39"/>
      <c r="D70" s="16"/>
      <c r="E70" s="7"/>
      <c r="F70" s="65">
        <v>40151.81</v>
      </c>
      <c r="G70" s="65"/>
      <c r="H70" s="64"/>
    </row>
    <row r="71" spans="1:8" ht="15.75">
      <c r="B71" s="40" t="s">
        <v>162</v>
      </c>
      <c r="C71" s="39"/>
      <c r="D71" s="16"/>
      <c r="E71" s="7"/>
      <c r="F71" s="65">
        <v>33599.050000000003</v>
      </c>
      <c r="G71" s="65"/>
      <c r="H71" s="64"/>
    </row>
    <row r="72" spans="1:8" ht="15.75">
      <c r="B72" s="40" t="s">
        <v>161</v>
      </c>
      <c r="C72" s="39"/>
      <c r="D72" s="16"/>
      <c r="E72" s="7"/>
      <c r="F72" s="65">
        <v>10959.94</v>
      </c>
      <c r="G72" s="65"/>
      <c r="H72" s="64"/>
    </row>
    <row r="73" spans="1:8" ht="24.75">
      <c r="A73" s="1" t="s">
        <v>103</v>
      </c>
      <c r="B73" s="62" t="s">
        <v>160</v>
      </c>
      <c r="C73" s="47" t="s">
        <v>0</v>
      </c>
      <c r="D73" s="16">
        <v>5000</v>
      </c>
      <c r="E73" s="16">
        <v>5000</v>
      </c>
      <c r="F73" s="16">
        <v>5000</v>
      </c>
      <c r="G73" s="7"/>
      <c r="H73" s="5">
        <f t="shared" ref="H73:H78" si="3">ROUND(F73/E73*100,1)</f>
        <v>100</v>
      </c>
    </row>
    <row r="74" spans="1:8" ht="18" customHeight="1">
      <c r="B74" s="62" t="s">
        <v>159</v>
      </c>
      <c r="C74" s="47"/>
      <c r="D74" s="16">
        <f>SUM(D75:D77)</f>
        <v>164641</v>
      </c>
      <c r="E74" s="16">
        <f>SUM(E75:E77)</f>
        <v>164641</v>
      </c>
      <c r="F74" s="16">
        <f>SUM(F75:F77)</f>
        <v>164641.25</v>
      </c>
      <c r="G74" s="16"/>
      <c r="H74" s="5">
        <f t="shared" si="3"/>
        <v>100</v>
      </c>
    </row>
    <row r="75" spans="1:8" ht="24.75">
      <c r="A75" s="1" t="s">
        <v>103</v>
      </c>
      <c r="B75" s="63" t="s">
        <v>158</v>
      </c>
      <c r="C75" s="39" t="s">
        <v>11</v>
      </c>
      <c r="D75" s="7">
        <v>35791</v>
      </c>
      <c r="E75" s="7">
        <v>35791</v>
      </c>
      <c r="F75" s="7">
        <v>35790.519999999997</v>
      </c>
      <c r="G75" s="7"/>
      <c r="H75" s="5">
        <f t="shared" si="3"/>
        <v>100</v>
      </c>
    </row>
    <row r="76" spans="1:8" ht="24.75">
      <c r="A76" s="1" t="s">
        <v>103</v>
      </c>
      <c r="B76" s="58" t="s">
        <v>157</v>
      </c>
      <c r="C76" s="39" t="s">
        <v>11</v>
      </c>
      <c r="D76" s="7">
        <v>93907</v>
      </c>
      <c r="E76" s="7">
        <v>93907</v>
      </c>
      <c r="F76" s="7">
        <v>93907.01</v>
      </c>
      <c r="G76" s="7"/>
      <c r="H76" s="5">
        <f t="shared" si="3"/>
        <v>100</v>
      </c>
    </row>
    <row r="77" spans="1:8" ht="24.75">
      <c r="A77" s="1" t="s">
        <v>103</v>
      </c>
      <c r="B77" s="58" t="s">
        <v>156</v>
      </c>
      <c r="C77" s="39" t="s">
        <v>11</v>
      </c>
      <c r="D77" s="7">
        <v>34943</v>
      </c>
      <c r="E77" s="7">
        <v>34943</v>
      </c>
      <c r="F77" s="7">
        <v>34943.72</v>
      </c>
      <c r="G77" s="7"/>
      <c r="H77" s="5">
        <f t="shared" si="3"/>
        <v>100</v>
      </c>
    </row>
    <row r="78" spans="1:8" ht="24.75">
      <c r="A78" s="1" t="s">
        <v>103</v>
      </c>
      <c r="B78" s="62" t="s">
        <v>155</v>
      </c>
      <c r="C78" s="47" t="s">
        <v>0</v>
      </c>
      <c r="D78" s="16">
        <v>50000</v>
      </c>
      <c r="E78" s="16">
        <f>50000+40000+27000+2215</f>
        <v>119215</v>
      </c>
      <c r="F78" s="16">
        <f>SUM(F79,F80)</f>
        <v>119199.84</v>
      </c>
      <c r="G78" s="16">
        <f>SUM(G79,G80)</f>
        <v>0</v>
      </c>
      <c r="H78" s="5">
        <f t="shared" si="3"/>
        <v>100</v>
      </c>
    </row>
    <row r="79" spans="1:8">
      <c r="B79" s="40" t="s">
        <v>154</v>
      </c>
      <c r="C79" s="39"/>
      <c r="D79" s="7"/>
      <c r="E79" s="7"/>
      <c r="F79" s="7">
        <v>68329.94</v>
      </c>
      <c r="G79" s="7"/>
      <c r="H79" s="5"/>
    </row>
    <row r="80" spans="1:8">
      <c r="B80" s="40" t="s">
        <v>153</v>
      </c>
      <c r="C80" s="39"/>
      <c r="D80" s="7"/>
      <c r="E80" s="7"/>
      <c r="F80" s="7">
        <v>50869.9</v>
      </c>
      <c r="G80" s="7"/>
      <c r="H80" s="5"/>
    </row>
    <row r="81" spans="1:8" ht="24.75">
      <c r="A81" s="1" t="s">
        <v>103</v>
      </c>
      <c r="B81" s="62" t="s">
        <v>152</v>
      </c>
      <c r="C81" s="47" t="s">
        <v>0</v>
      </c>
      <c r="D81" s="7"/>
      <c r="E81" s="16">
        <f>SUM(E82,E83)</f>
        <v>817173</v>
      </c>
      <c r="F81" s="16">
        <f>SUM(F82,F83)</f>
        <v>791047.21</v>
      </c>
      <c r="G81" s="16">
        <f>SUM(G82,G83)</f>
        <v>0</v>
      </c>
      <c r="H81" s="17">
        <f t="shared" ref="H81:H112" si="4">ROUND(F81/E81*100,1)</f>
        <v>96.8</v>
      </c>
    </row>
    <row r="82" spans="1:8">
      <c r="B82" s="40" t="s">
        <v>151</v>
      </c>
      <c r="C82" s="39"/>
      <c r="D82" s="7"/>
      <c r="E82" s="7">
        <f>240000+15000</f>
        <v>255000</v>
      </c>
      <c r="F82" s="7">
        <v>228874.21</v>
      </c>
      <c r="G82" s="7"/>
      <c r="H82" s="5">
        <f t="shared" si="4"/>
        <v>89.8</v>
      </c>
    </row>
    <row r="83" spans="1:8">
      <c r="B83" s="55" t="s">
        <v>151</v>
      </c>
      <c r="C83" s="51"/>
      <c r="D83" s="22"/>
      <c r="E83" s="22">
        <v>562173</v>
      </c>
      <c r="F83" s="22">
        <v>562173</v>
      </c>
      <c r="G83" s="22"/>
      <c r="H83" s="27">
        <f t="shared" si="4"/>
        <v>100</v>
      </c>
    </row>
    <row r="84" spans="1:8">
      <c r="B84" s="40" t="s">
        <v>150</v>
      </c>
      <c r="C84" s="39"/>
      <c r="D84" s="11">
        <f>SUM(D85:D86)</f>
        <v>731175</v>
      </c>
      <c r="E84" s="11">
        <f>SUM(E85:E86)</f>
        <v>731175</v>
      </c>
      <c r="F84" s="11">
        <f>SUM(F85:F86)</f>
        <v>185171.4</v>
      </c>
      <c r="G84" s="11">
        <f>SUM(G85:G86)</f>
        <v>185171.4</v>
      </c>
      <c r="H84" s="5">
        <f t="shared" si="4"/>
        <v>25.3</v>
      </c>
    </row>
    <row r="85" spans="1:8" ht="30">
      <c r="A85" s="1" t="s">
        <v>103</v>
      </c>
      <c r="B85" s="40" t="s">
        <v>149</v>
      </c>
      <c r="C85" s="39" t="s">
        <v>0</v>
      </c>
      <c r="D85" s="7">
        <v>109676</v>
      </c>
      <c r="E85" s="7">
        <v>109676</v>
      </c>
      <c r="F85" s="7">
        <v>31451.18</v>
      </c>
      <c r="G85" s="7">
        <v>31451.18</v>
      </c>
      <c r="H85" s="5">
        <f t="shared" si="4"/>
        <v>28.7</v>
      </c>
    </row>
    <row r="86" spans="1:8" ht="30">
      <c r="A86" s="1" t="s">
        <v>103</v>
      </c>
      <c r="B86" s="55" t="s">
        <v>149</v>
      </c>
      <c r="C86" s="51" t="s">
        <v>0</v>
      </c>
      <c r="D86" s="22">
        <v>621499</v>
      </c>
      <c r="E86" s="22">
        <v>621499</v>
      </c>
      <c r="F86" s="7">
        <v>153720.22</v>
      </c>
      <c r="G86" s="7">
        <v>153720.22</v>
      </c>
      <c r="H86" s="5">
        <f t="shared" si="4"/>
        <v>24.7</v>
      </c>
    </row>
    <row r="87" spans="1:8">
      <c r="A87" s="1" t="s">
        <v>2</v>
      </c>
      <c r="B87" s="42" t="s">
        <v>148</v>
      </c>
      <c r="C87" s="44"/>
      <c r="D87" s="11">
        <f>SUM(D88:D89)</f>
        <v>1470000</v>
      </c>
      <c r="E87" s="11">
        <f>SUM(E88:E89)</f>
        <v>1593380</v>
      </c>
      <c r="F87" s="11">
        <f>SUM(F88:F89)</f>
        <v>1589216.64</v>
      </c>
      <c r="G87" s="11">
        <f>SUM(G88:G89)</f>
        <v>2251.88</v>
      </c>
      <c r="H87" s="5">
        <f t="shared" si="4"/>
        <v>99.7</v>
      </c>
    </row>
    <row r="88" spans="1:8">
      <c r="A88" s="1" t="s">
        <v>2</v>
      </c>
      <c r="B88" s="45" t="s">
        <v>147</v>
      </c>
      <c r="C88" s="39" t="s">
        <v>0</v>
      </c>
      <c r="D88" s="7">
        <v>298000</v>
      </c>
      <c r="E88" s="7">
        <v>298000</v>
      </c>
      <c r="F88" s="7">
        <v>293761.46999999997</v>
      </c>
      <c r="G88" s="7">
        <v>2251.88</v>
      </c>
      <c r="H88" s="5">
        <f t="shared" si="4"/>
        <v>98.6</v>
      </c>
    </row>
    <row r="89" spans="1:8">
      <c r="A89" s="1" t="s">
        <v>2</v>
      </c>
      <c r="B89" s="52" t="s">
        <v>147</v>
      </c>
      <c r="C89" s="51" t="s">
        <v>0</v>
      </c>
      <c r="D89" s="7">
        <v>1172000</v>
      </c>
      <c r="E89" s="22">
        <f>1172000+47980+75400</f>
        <v>1295380</v>
      </c>
      <c r="F89" s="22">
        <v>1295455.17</v>
      </c>
      <c r="G89" s="22"/>
      <c r="H89" s="27">
        <f t="shared" si="4"/>
        <v>100</v>
      </c>
    </row>
    <row r="90" spans="1:8">
      <c r="A90" s="1" t="s">
        <v>145</v>
      </c>
      <c r="B90" s="45" t="s">
        <v>146</v>
      </c>
      <c r="C90" s="44"/>
      <c r="D90" s="11">
        <f>SUM(D91)</f>
        <v>85000</v>
      </c>
      <c r="E90" s="11">
        <f>SUM(E91)</f>
        <v>85000</v>
      </c>
      <c r="F90" s="11">
        <f>SUM(F91)</f>
        <v>85000</v>
      </c>
      <c r="G90" s="11"/>
      <c r="H90" s="5">
        <f t="shared" si="4"/>
        <v>100</v>
      </c>
    </row>
    <row r="91" spans="1:8" ht="30">
      <c r="A91" s="1" t="s">
        <v>145</v>
      </c>
      <c r="B91" s="40" t="s">
        <v>144</v>
      </c>
      <c r="C91" s="39" t="s">
        <v>11</v>
      </c>
      <c r="D91" s="7">
        <v>85000</v>
      </c>
      <c r="E91" s="7">
        <v>85000</v>
      </c>
      <c r="F91" s="7">
        <v>85000</v>
      </c>
      <c r="G91" s="7"/>
      <c r="H91" s="5">
        <f t="shared" si="4"/>
        <v>100</v>
      </c>
    </row>
    <row r="92" spans="1:8">
      <c r="B92" s="42" t="s">
        <v>143</v>
      </c>
      <c r="C92" s="47"/>
      <c r="D92" s="11">
        <f>SUM(D93:D97)</f>
        <v>176000</v>
      </c>
      <c r="E92" s="11">
        <f>SUM(E93:E100)</f>
        <v>235319</v>
      </c>
      <c r="F92" s="11">
        <f>SUM(F93:F100)</f>
        <v>235182.05</v>
      </c>
      <c r="G92" s="11">
        <f>SUM(G93:G100)</f>
        <v>42020.4</v>
      </c>
      <c r="H92" s="5">
        <f t="shared" si="4"/>
        <v>99.9</v>
      </c>
    </row>
    <row r="93" spans="1:8">
      <c r="A93" s="1" t="s">
        <v>2</v>
      </c>
      <c r="B93" s="40" t="s">
        <v>142</v>
      </c>
      <c r="C93" s="39" t="s">
        <v>0</v>
      </c>
      <c r="D93" s="7">
        <v>35000</v>
      </c>
      <c r="E93" s="7">
        <v>35000</v>
      </c>
      <c r="F93" s="7">
        <v>35370.230000000003</v>
      </c>
      <c r="G93" s="7">
        <v>5592</v>
      </c>
      <c r="H93" s="5">
        <f t="shared" si="4"/>
        <v>101.1</v>
      </c>
    </row>
    <row r="94" spans="1:8">
      <c r="A94" s="1" t="s">
        <v>2</v>
      </c>
      <c r="B94" s="40" t="s">
        <v>141</v>
      </c>
      <c r="C94" s="39" t="s">
        <v>0</v>
      </c>
      <c r="D94" s="7">
        <v>10000</v>
      </c>
      <c r="E94" s="7">
        <v>10000</v>
      </c>
      <c r="F94" s="7">
        <v>10871.04</v>
      </c>
      <c r="G94" s="7"/>
      <c r="H94" s="5">
        <f t="shared" si="4"/>
        <v>108.7</v>
      </c>
    </row>
    <row r="95" spans="1:8">
      <c r="A95" s="1" t="s">
        <v>2</v>
      </c>
      <c r="B95" s="40" t="s">
        <v>140</v>
      </c>
      <c r="C95" s="39" t="s">
        <v>0</v>
      </c>
      <c r="D95" s="7">
        <v>36000</v>
      </c>
      <c r="E95" s="7">
        <f>36000-29000</f>
        <v>7000</v>
      </c>
      <c r="F95" s="7">
        <v>6438.18</v>
      </c>
      <c r="G95" s="7"/>
      <c r="H95" s="5">
        <f t="shared" si="4"/>
        <v>92</v>
      </c>
    </row>
    <row r="96" spans="1:8">
      <c r="A96" s="1" t="s">
        <v>2</v>
      </c>
      <c r="B96" s="40" t="s">
        <v>139</v>
      </c>
      <c r="C96" s="39" t="s">
        <v>0</v>
      </c>
      <c r="D96" s="7">
        <v>45000</v>
      </c>
      <c r="E96" s="7">
        <f>45000-4000</f>
        <v>41000</v>
      </c>
      <c r="F96" s="7">
        <v>39949.68</v>
      </c>
      <c r="G96" s="7"/>
      <c r="H96" s="5">
        <f t="shared" si="4"/>
        <v>97.4</v>
      </c>
    </row>
    <row r="97" spans="1:9">
      <c r="A97" s="1" t="s">
        <v>2</v>
      </c>
      <c r="B97" s="40" t="s">
        <v>138</v>
      </c>
      <c r="C97" s="39" t="s">
        <v>0</v>
      </c>
      <c r="D97" s="7">
        <v>50000</v>
      </c>
      <c r="E97" s="7">
        <v>50000</v>
      </c>
      <c r="F97" s="7">
        <v>50000</v>
      </c>
      <c r="G97" s="7"/>
      <c r="H97" s="5">
        <f t="shared" si="4"/>
        <v>100</v>
      </c>
    </row>
    <row r="98" spans="1:9" ht="24.75">
      <c r="A98" s="1" t="s">
        <v>2</v>
      </c>
      <c r="B98" s="40" t="s">
        <v>137</v>
      </c>
      <c r="C98" s="39" t="s">
        <v>11</v>
      </c>
      <c r="D98" s="7"/>
      <c r="E98" s="7">
        <v>11581</v>
      </c>
      <c r="F98" s="7">
        <v>11581</v>
      </c>
      <c r="G98" s="7"/>
      <c r="H98" s="5">
        <f t="shared" si="4"/>
        <v>100</v>
      </c>
    </row>
    <row r="99" spans="1:9">
      <c r="A99" s="1" t="s">
        <v>2</v>
      </c>
      <c r="B99" s="40" t="s">
        <v>136</v>
      </c>
      <c r="C99" s="39" t="s">
        <v>0</v>
      </c>
      <c r="D99" s="7"/>
      <c r="E99" s="7">
        <f>8000+5000+17738</f>
        <v>30738</v>
      </c>
      <c r="F99" s="7">
        <v>30738</v>
      </c>
      <c r="G99" s="7">
        <v>30738</v>
      </c>
      <c r="H99" s="5">
        <f t="shared" si="4"/>
        <v>100</v>
      </c>
    </row>
    <row r="100" spans="1:9">
      <c r="A100" s="1" t="s">
        <v>2</v>
      </c>
      <c r="B100" s="40" t="s">
        <v>135</v>
      </c>
      <c r="C100" s="39" t="s">
        <v>0</v>
      </c>
      <c r="D100" s="7"/>
      <c r="E100" s="7">
        <v>50000</v>
      </c>
      <c r="F100" s="7">
        <v>50233.919999999998</v>
      </c>
      <c r="G100" s="7">
        <f>5390.4+300</f>
        <v>5690.4</v>
      </c>
      <c r="H100" s="5">
        <f t="shared" si="4"/>
        <v>100.5</v>
      </c>
    </row>
    <row r="101" spans="1:9" ht="25.5" customHeight="1">
      <c r="B101" s="15" t="s">
        <v>134</v>
      </c>
      <c r="C101" s="14"/>
      <c r="D101" s="11">
        <f>SUM(D102,D105,D107,D115)</f>
        <v>207200</v>
      </c>
      <c r="E101" s="11">
        <f>SUM(E102,E105,E107,E115)</f>
        <v>413133</v>
      </c>
      <c r="F101" s="11">
        <f>SUM(F102,F105,F107,F115)</f>
        <v>350826.43</v>
      </c>
      <c r="G101" s="11">
        <f>SUM(G102,G105,G107,G115)</f>
        <v>45303.03</v>
      </c>
      <c r="H101" s="17">
        <f t="shared" si="4"/>
        <v>84.9</v>
      </c>
    </row>
    <row r="102" spans="1:9">
      <c r="A102" s="1" t="s">
        <v>103</v>
      </c>
      <c r="B102" s="15" t="s">
        <v>133</v>
      </c>
      <c r="C102" s="14"/>
      <c r="D102" s="11">
        <f>SUM(D103)</f>
        <v>32000</v>
      </c>
      <c r="E102" s="11">
        <f>SUM(E103:E104)</f>
        <v>40280</v>
      </c>
      <c r="F102" s="11">
        <f>SUM(F103:F104)</f>
        <v>26265.75</v>
      </c>
      <c r="G102" s="11">
        <f>SUM(G103:G104)</f>
        <v>5985.75</v>
      </c>
      <c r="H102" s="5">
        <f t="shared" si="4"/>
        <v>65.2</v>
      </c>
    </row>
    <row r="103" spans="1:9" ht="30">
      <c r="A103" s="1" t="s">
        <v>103</v>
      </c>
      <c r="B103" s="10" t="s">
        <v>132</v>
      </c>
      <c r="C103" s="8" t="s">
        <v>11</v>
      </c>
      <c r="D103" s="7">
        <v>32000</v>
      </c>
      <c r="E103" s="7">
        <v>32000</v>
      </c>
      <c r="F103" s="7">
        <v>17985.75</v>
      </c>
      <c r="G103" s="7">
        <v>5985.75</v>
      </c>
      <c r="H103" s="5">
        <f t="shared" si="4"/>
        <v>56.2</v>
      </c>
    </row>
    <row r="104" spans="1:9">
      <c r="A104" s="1" t="s">
        <v>103</v>
      </c>
      <c r="B104" s="10" t="s">
        <v>131</v>
      </c>
      <c r="C104" s="8" t="s">
        <v>0</v>
      </c>
      <c r="D104" s="7"/>
      <c r="E104" s="7">
        <v>8280</v>
      </c>
      <c r="F104" s="7">
        <v>8280</v>
      </c>
      <c r="G104" s="7"/>
      <c r="H104" s="5">
        <f t="shared" si="4"/>
        <v>100</v>
      </c>
      <c r="I104" s="59"/>
    </row>
    <row r="105" spans="1:9" s="60" customFormat="1">
      <c r="A105" s="1"/>
      <c r="B105" s="13" t="s">
        <v>130</v>
      </c>
      <c r="C105" s="12"/>
      <c r="D105" s="11">
        <f>SUM(D106)</f>
        <v>12000</v>
      </c>
      <c r="E105" s="11">
        <f>SUM(E106)</f>
        <v>12000</v>
      </c>
      <c r="F105" s="11">
        <f>SUM(F106)</f>
        <v>12000</v>
      </c>
      <c r="G105" s="11"/>
      <c r="H105" s="5">
        <f t="shared" si="4"/>
        <v>100</v>
      </c>
      <c r="I105" s="61"/>
    </row>
    <row r="106" spans="1:9">
      <c r="A106" s="1" t="s">
        <v>103</v>
      </c>
      <c r="B106" s="10" t="s">
        <v>129</v>
      </c>
      <c r="C106" s="8" t="s">
        <v>0</v>
      </c>
      <c r="D106" s="7">
        <v>12000</v>
      </c>
      <c r="E106" s="7">
        <v>12000</v>
      </c>
      <c r="F106" s="7">
        <v>12000</v>
      </c>
      <c r="G106" s="7"/>
      <c r="H106" s="5">
        <f t="shared" si="4"/>
        <v>100</v>
      </c>
      <c r="I106" s="59"/>
    </row>
    <row r="107" spans="1:9">
      <c r="B107" s="15" t="s">
        <v>128</v>
      </c>
      <c r="C107" s="8"/>
      <c r="D107" s="11">
        <f>SUM(D108:D110)</f>
        <v>109000</v>
      </c>
      <c r="E107" s="11">
        <f>SUM(E108:E114)</f>
        <v>306653</v>
      </c>
      <c r="F107" s="11">
        <f>SUM(F108:F114)</f>
        <v>302564.68</v>
      </c>
      <c r="G107" s="11">
        <f>SUM(G108:G114)</f>
        <v>39317.279999999999</v>
      </c>
      <c r="H107" s="5">
        <f t="shared" si="4"/>
        <v>98.7</v>
      </c>
    </row>
    <row r="108" spans="1:9">
      <c r="A108" s="1" t="s">
        <v>103</v>
      </c>
      <c r="B108" s="58" t="s">
        <v>127</v>
      </c>
      <c r="C108" s="8" t="s">
        <v>0</v>
      </c>
      <c r="D108" s="7">
        <v>15000</v>
      </c>
      <c r="E108" s="7">
        <f>15000+53000-10000</f>
        <v>58000</v>
      </c>
      <c r="F108" s="7">
        <v>57661.78</v>
      </c>
      <c r="G108" s="7"/>
      <c r="H108" s="5">
        <f t="shared" si="4"/>
        <v>99.4</v>
      </c>
    </row>
    <row r="109" spans="1:9">
      <c r="A109" s="1" t="s">
        <v>103</v>
      </c>
      <c r="B109" s="58" t="s">
        <v>126</v>
      </c>
      <c r="C109" s="8" t="s">
        <v>0</v>
      </c>
      <c r="D109" s="7">
        <v>30000</v>
      </c>
      <c r="E109" s="7">
        <v>30000</v>
      </c>
      <c r="F109" s="7">
        <v>30825.599999999999</v>
      </c>
      <c r="G109" s="7"/>
      <c r="H109" s="5">
        <f t="shared" si="4"/>
        <v>102.8</v>
      </c>
    </row>
    <row r="110" spans="1:9">
      <c r="A110" s="1" t="s">
        <v>103</v>
      </c>
      <c r="B110" s="10" t="s">
        <v>125</v>
      </c>
      <c r="C110" s="8" t="s">
        <v>0</v>
      </c>
      <c r="D110" s="7">
        <v>64000</v>
      </c>
      <c r="E110" s="7">
        <f>64000+102653+24000</f>
        <v>190653</v>
      </c>
      <c r="F110" s="7">
        <v>190739.1</v>
      </c>
      <c r="G110" s="7">
        <f>10000+6752.22+6996.86</f>
        <v>23749.08</v>
      </c>
      <c r="H110" s="5">
        <f t="shared" si="4"/>
        <v>100</v>
      </c>
    </row>
    <row r="111" spans="1:9">
      <c r="A111" s="1" t="s">
        <v>103</v>
      </c>
      <c r="B111" s="10" t="s">
        <v>124</v>
      </c>
      <c r="C111" s="8" t="s">
        <v>0</v>
      </c>
      <c r="D111" s="7"/>
      <c r="E111" s="7">
        <v>7500</v>
      </c>
      <c r="F111" s="7">
        <v>4800</v>
      </c>
      <c r="G111" s="7">
        <v>4800</v>
      </c>
      <c r="H111" s="5">
        <f t="shared" si="4"/>
        <v>64</v>
      </c>
    </row>
    <row r="112" spans="1:9">
      <c r="A112" s="1" t="s">
        <v>103</v>
      </c>
      <c r="B112" s="10" t="s">
        <v>123</v>
      </c>
      <c r="C112" s="8" t="s">
        <v>0</v>
      </c>
      <c r="D112" s="7"/>
      <c r="E112" s="7">
        <f>40000-30000</f>
        <v>10000</v>
      </c>
      <c r="F112" s="7">
        <v>8040</v>
      </c>
      <c r="G112" s="7">
        <v>8040</v>
      </c>
      <c r="H112" s="5">
        <f t="shared" si="4"/>
        <v>80.400000000000006</v>
      </c>
    </row>
    <row r="113" spans="1:8">
      <c r="A113" s="1" t="s">
        <v>103</v>
      </c>
      <c r="B113" s="10" t="s">
        <v>122</v>
      </c>
      <c r="C113" s="8" t="s">
        <v>0</v>
      </c>
      <c r="D113" s="7"/>
      <c r="E113" s="7">
        <v>2730</v>
      </c>
      <c r="F113" s="7">
        <v>2728.2</v>
      </c>
      <c r="G113" s="7">
        <v>2728.2</v>
      </c>
      <c r="H113" s="5">
        <f t="shared" ref="H113:H144" si="5">ROUND(F113/E113*100,1)</f>
        <v>99.9</v>
      </c>
    </row>
    <row r="114" spans="1:8">
      <c r="A114" s="1" t="s">
        <v>103</v>
      </c>
      <c r="B114" s="10" t="s">
        <v>121</v>
      </c>
      <c r="C114" s="8" t="s">
        <v>0</v>
      </c>
      <c r="D114" s="7"/>
      <c r="E114" s="7">
        <v>7770</v>
      </c>
      <c r="F114" s="7">
        <v>7770</v>
      </c>
      <c r="G114" s="7"/>
      <c r="H114" s="5">
        <f t="shared" si="5"/>
        <v>100</v>
      </c>
    </row>
    <row r="115" spans="1:8" s="56" customFormat="1">
      <c r="B115" s="57" t="s">
        <v>120</v>
      </c>
      <c r="C115" s="12"/>
      <c r="D115" s="11">
        <f>SUM(D116:D117)</f>
        <v>54200</v>
      </c>
      <c r="E115" s="11">
        <f>SUM(E116:E117)</f>
        <v>54200</v>
      </c>
      <c r="F115" s="11">
        <f>SUM(F116:F117)</f>
        <v>9996</v>
      </c>
      <c r="G115" s="11">
        <f>SUM(G116:G117)</f>
        <v>0</v>
      </c>
      <c r="H115" s="5">
        <f t="shared" si="5"/>
        <v>18.399999999999999</v>
      </c>
    </row>
    <row r="116" spans="1:8" ht="30">
      <c r="A116" s="1" t="s">
        <v>103</v>
      </c>
      <c r="B116" s="10" t="s">
        <v>119</v>
      </c>
      <c r="C116" s="8" t="s">
        <v>0</v>
      </c>
      <c r="D116" s="7">
        <v>17000</v>
      </c>
      <c r="E116" s="7">
        <v>17000</v>
      </c>
      <c r="F116" s="7">
        <v>510.16</v>
      </c>
      <c r="G116" s="7">
        <v>510.16</v>
      </c>
      <c r="H116" s="5">
        <f t="shared" si="5"/>
        <v>3</v>
      </c>
    </row>
    <row r="117" spans="1:8" ht="30">
      <c r="A117" s="1" t="s">
        <v>103</v>
      </c>
      <c r="B117" s="23" t="s">
        <v>119</v>
      </c>
      <c r="C117" s="33" t="s">
        <v>0</v>
      </c>
      <c r="D117" s="22">
        <v>37200</v>
      </c>
      <c r="E117" s="36">
        <v>37200</v>
      </c>
      <c r="F117" s="36">
        <v>9485.84</v>
      </c>
      <c r="G117" s="36">
        <v>-510.16</v>
      </c>
      <c r="H117" s="32">
        <f t="shared" si="5"/>
        <v>25.5</v>
      </c>
    </row>
    <row r="118" spans="1:8" ht="25.5" customHeight="1">
      <c r="B118" s="15" t="s">
        <v>118</v>
      </c>
      <c r="C118" s="14"/>
      <c r="D118" s="16">
        <f>SUM(D119,D122,D130)</f>
        <v>522110</v>
      </c>
      <c r="E118" s="16">
        <f>SUM(E119,E122,E130)</f>
        <v>568110</v>
      </c>
      <c r="F118" s="16">
        <f>SUM(F119,F122,F130)</f>
        <v>263149.13</v>
      </c>
      <c r="G118" s="16">
        <f>SUM(G119,G122,G130)</f>
        <v>99469.4</v>
      </c>
      <c r="H118" s="5">
        <f t="shared" si="5"/>
        <v>46.3</v>
      </c>
    </row>
    <row r="119" spans="1:8">
      <c r="A119" s="1" t="s">
        <v>2</v>
      </c>
      <c r="B119" s="42" t="s">
        <v>117</v>
      </c>
      <c r="C119" s="47"/>
      <c r="D119" s="11">
        <f>SUM(D120:D121)</f>
        <v>120000</v>
      </c>
      <c r="E119" s="11">
        <f>SUM(E120:E121)</f>
        <v>166000</v>
      </c>
      <c r="F119" s="11">
        <f>SUM(F120:F121)</f>
        <v>153713.47999999998</v>
      </c>
      <c r="G119" s="11">
        <f>SUM(G120:G121)</f>
        <v>26284.410000000003</v>
      </c>
      <c r="H119" s="5">
        <f t="shared" si="5"/>
        <v>92.6</v>
      </c>
    </row>
    <row r="120" spans="1:8">
      <c r="A120" s="1" t="s">
        <v>2</v>
      </c>
      <c r="B120" s="40" t="s">
        <v>116</v>
      </c>
      <c r="C120" s="39" t="s">
        <v>0</v>
      </c>
      <c r="D120" s="7">
        <v>60000</v>
      </c>
      <c r="E120" s="7">
        <f>60000</f>
        <v>60000</v>
      </c>
      <c r="F120" s="7">
        <v>53018.44</v>
      </c>
      <c r="G120" s="7">
        <v>1891.08</v>
      </c>
      <c r="H120" s="5">
        <f t="shared" si="5"/>
        <v>88.4</v>
      </c>
    </row>
    <row r="121" spans="1:8">
      <c r="A121" s="1" t="s">
        <v>2</v>
      </c>
      <c r="B121" s="40" t="s">
        <v>115</v>
      </c>
      <c r="C121" s="39" t="s">
        <v>0</v>
      </c>
      <c r="D121" s="7">
        <v>60000</v>
      </c>
      <c r="E121" s="7">
        <f>60000+46000</f>
        <v>106000</v>
      </c>
      <c r="F121" s="7">
        <v>100695.03999999999</v>
      </c>
      <c r="G121" s="7">
        <f>5880+18513.33</f>
        <v>24393.33</v>
      </c>
      <c r="H121" s="5">
        <f t="shared" si="5"/>
        <v>95</v>
      </c>
    </row>
    <row r="122" spans="1:8">
      <c r="B122" s="42" t="s">
        <v>114</v>
      </c>
      <c r="C122" s="44"/>
      <c r="D122" s="11">
        <f>SUM(D123:D129)</f>
        <v>382110</v>
      </c>
      <c r="E122" s="11">
        <f>SUM(E123:E129)</f>
        <v>382110</v>
      </c>
      <c r="F122" s="11">
        <f>SUM(F123:F129)</f>
        <v>89814.23000000001</v>
      </c>
      <c r="G122" s="11">
        <f>SUM(G123:G129)</f>
        <v>69308.989999999991</v>
      </c>
      <c r="H122" s="5">
        <f t="shared" si="5"/>
        <v>23.5</v>
      </c>
    </row>
    <row r="123" spans="1:8" ht="30">
      <c r="A123" s="1" t="s">
        <v>103</v>
      </c>
      <c r="B123" s="40" t="s">
        <v>113</v>
      </c>
      <c r="C123" s="39" t="s">
        <v>0</v>
      </c>
      <c r="D123" s="7">
        <v>30000</v>
      </c>
      <c r="E123" s="7">
        <v>30000</v>
      </c>
      <c r="F123" s="7">
        <v>17312.18</v>
      </c>
      <c r="G123" s="7"/>
      <c r="H123" s="5">
        <f t="shared" si="5"/>
        <v>57.7</v>
      </c>
    </row>
    <row r="124" spans="1:8" ht="30">
      <c r="A124" s="1" t="s">
        <v>103</v>
      </c>
      <c r="B124" s="40" t="s">
        <v>112</v>
      </c>
      <c r="C124" s="39" t="s">
        <v>0</v>
      </c>
      <c r="D124" s="7">
        <v>55000</v>
      </c>
      <c r="E124" s="7">
        <v>55000</v>
      </c>
      <c r="F124" s="7">
        <v>44159.19</v>
      </c>
      <c r="G124" s="7">
        <v>40966.129999999997</v>
      </c>
      <c r="H124" s="5">
        <f t="shared" si="5"/>
        <v>80.3</v>
      </c>
    </row>
    <row r="125" spans="1:8" ht="30">
      <c r="A125" s="1" t="s">
        <v>103</v>
      </c>
      <c r="B125" s="40" t="s">
        <v>111</v>
      </c>
      <c r="C125" s="39" t="s">
        <v>0</v>
      </c>
      <c r="D125" s="7">
        <v>25200</v>
      </c>
      <c r="E125" s="7">
        <v>25200</v>
      </c>
      <c r="F125" s="7"/>
      <c r="G125" s="7"/>
      <c r="H125" s="5">
        <f t="shared" si="5"/>
        <v>0</v>
      </c>
    </row>
    <row r="126" spans="1:8" ht="30">
      <c r="A126" s="1" t="s">
        <v>103</v>
      </c>
      <c r="B126" s="55" t="s">
        <v>111</v>
      </c>
      <c r="C126" s="51" t="s">
        <v>0</v>
      </c>
      <c r="D126" s="22">
        <v>237510</v>
      </c>
      <c r="E126" s="36">
        <v>237510</v>
      </c>
      <c r="F126" s="36"/>
      <c r="G126" s="36"/>
      <c r="H126" s="32">
        <f t="shared" si="5"/>
        <v>0</v>
      </c>
    </row>
    <row r="127" spans="1:8" ht="30">
      <c r="A127" s="1" t="s">
        <v>103</v>
      </c>
      <c r="B127" s="40" t="s">
        <v>110</v>
      </c>
      <c r="C127" s="39" t="s">
        <v>0</v>
      </c>
      <c r="D127" s="7">
        <v>12000</v>
      </c>
      <c r="E127" s="7">
        <v>12000</v>
      </c>
      <c r="F127" s="7">
        <v>9638.4599999999991</v>
      </c>
      <c r="G127" s="7">
        <v>9638.4599999999991</v>
      </c>
      <c r="H127" s="5">
        <f t="shared" si="5"/>
        <v>80.3</v>
      </c>
    </row>
    <row r="128" spans="1:8">
      <c r="A128" s="1" t="s">
        <v>103</v>
      </c>
      <c r="B128" s="40" t="s">
        <v>109</v>
      </c>
      <c r="C128" s="39" t="s">
        <v>0</v>
      </c>
      <c r="D128" s="7">
        <v>18000</v>
      </c>
      <c r="E128" s="7">
        <v>18000</v>
      </c>
      <c r="F128" s="7">
        <v>18704.400000000001</v>
      </c>
      <c r="G128" s="7">
        <v>18704.400000000001</v>
      </c>
      <c r="H128" s="5">
        <f t="shared" si="5"/>
        <v>103.9</v>
      </c>
    </row>
    <row r="129" spans="1:10">
      <c r="A129" s="1" t="s">
        <v>103</v>
      </c>
      <c r="B129" s="40" t="s">
        <v>108</v>
      </c>
      <c r="C129" s="39" t="s">
        <v>0</v>
      </c>
      <c r="D129" s="7">
        <v>4400</v>
      </c>
      <c r="E129" s="7">
        <v>4400</v>
      </c>
      <c r="F129" s="7"/>
      <c r="G129" s="7"/>
      <c r="H129" s="5">
        <f t="shared" si="5"/>
        <v>0</v>
      </c>
    </row>
    <row r="130" spans="1:10">
      <c r="B130" s="42" t="s">
        <v>107</v>
      </c>
      <c r="C130" s="47"/>
      <c r="D130" s="11">
        <f>SUM(D131:D134)</f>
        <v>20000</v>
      </c>
      <c r="E130" s="11">
        <f>SUM(E131:E134)</f>
        <v>20000</v>
      </c>
      <c r="F130" s="11">
        <f>SUM(F131:F134)</f>
        <v>19621.420000000002</v>
      </c>
      <c r="G130" s="11">
        <f>SUM(G131:G134)</f>
        <v>3876</v>
      </c>
      <c r="H130" s="5">
        <f t="shared" si="5"/>
        <v>98.1</v>
      </c>
    </row>
    <row r="131" spans="1:10">
      <c r="A131" s="1" t="s">
        <v>103</v>
      </c>
      <c r="B131" s="40" t="s">
        <v>106</v>
      </c>
      <c r="C131" s="39" t="s">
        <v>0</v>
      </c>
      <c r="D131" s="7">
        <v>10000</v>
      </c>
      <c r="E131" s="7">
        <v>10000</v>
      </c>
      <c r="F131" s="7">
        <v>9620.2900000000009</v>
      </c>
      <c r="G131" s="7"/>
      <c r="H131" s="5">
        <f t="shared" si="5"/>
        <v>96.2</v>
      </c>
    </row>
    <row r="132" spans="1:10">
      <c r="A132" s="1" t="s">
        <v>103</v>
      </c>
      <c r="B132" s="40" t="s">
        <v>105</v>
      </c>
      <c r="C132" s="39" t="s">
        <v>0</v>
      </c>
      <c r="D132" s="7">
        <v>3000</v>
      </c>
      <c r="E132" s="7">
        <v>3000</v>
      </c>
      <c r="F132" s="7">
        <v>2575.13</v>
      </c>
      <c r="G132" s="7"/>
      <c r="H132" s="5">
        <f t="shared" si="5"/>
        <v>85.8</v>
      </c>
    </row>
    <row r="133" spans="1:10">
      <c r="A133" s="1" t="s">
        <v>103</v>
      </c>
      <c r="B133" s="40" t="s">
        <v>104</v>
      </c>
      <c r="C133" s="39" t="s">
        <v>0</v>
      </c>
      <c r="D133" s="7">
        <v>3500</v>
      </c>
      <c r="E133" s="7">
        <v>3500</v>
      </c>
      <c r="F133" s="7">
        <v>3876</v>
      </c>
      <c r="G133" s="7">
        <v>3876</v>
      </c>
      <c r="H133" s="5">
        <f t="shared" si="5"/>
        <v>110.7</v>
      </c>
    </row>
    <row r="134" spans="1:10">
      <c r="A134" s="1" t="s">
        <v>103</v>
      </c>
      <c r="B134" s="40" t="s">
        <v>102</v>
      </c>
      <c r="C134" s="39" t="s">
        <v>0</v>
      </c>
      <c r="D134" s="7">
        <v>3500</v>
      </c>
      <c r="E134" s="7">
        <v>3500</v>
      </c>
      <c r="F134" s="7">
        <v>3550</v>
      </c>
      <c r="G134" s="7"/>
      <c r="H134" s="5">
        <f t="shared" si="5"/>
        <v>101.4</v>
      </c>
    </row>
    <row r="135" spans="1:10" ht="28.5" customHeight="1">
      <c r="B135" s="15" t="s">
        <v>101</v>
      </c>
      <c r="C135" s="14"/>
      <c r="D135" s="16">
        <f>SUM(D136,D150,D156,D164,D166)</f>
        <v>380735</v>
      </c>
      <c r="E135" s="16">
        <f>SUM(E136,E150,E156,E164,E166,E162,E158,E146,E172)</f>
        <v>826273</v>
      </c>
      <c r="F135" s="16">
        <f>SUM(F136,F150,F156,F164,F166,F162,F158,F146,F172)</f>
        <v>749684.09</v>
      </c>
      <c r="G135" s="16">
        <f>SUM(G136,G150,G156,G164,G166,G162,G158,G146,G172)</f>
        <v>134078.25</v>
      </c>
      <c r="H135" s="17">
        <f t="shared" si="5"/>
        <v>90.7</v>
      </c>
      <c r="J135" s="6"/>
    </row>
    <row r="136" spans="1:10">
      <c r="B136" s="42" t="s">
        <v>100</v>
      </c>
      <c r="C136" s="47"/>
      <c r="D136" s="11">
        <f>SUM(D137:D142)</f>
        <v>131912</v>
      </c>
      <c r="E136" s="11">
        <f>SUM(E137:E145)</f>
        <v>176856</v>
      </c>
      <c r="F136" s="11">
        <f>SUM(F137:F145)</f>
        <v>176848</v>
      </c>
      <c r="G136" s="11">
        <f>SUM(G137:G145)</f>
        <v>0</v>
      </c>
      <c r="H136" s="5">
        <f t="shared" si="5"/>
        <v>100</v>
      </c>
    </row>
    <row r="137" spans="1:10" ht="24.75">
      <c r="A137" s="1" t="s">
        <v>68</v>
      </c>
      <c r="B137" s="40" t="s">
        <v>99</v>
      </c>
      <c r="C137" s="39" t="s">
        <v>11</v>
      </c>
      <c r="D137" s="7">
        <v>48000</v>
      </c>
      <c r="E137" s="7">
        <v>48000</v>
      </c>
      <c r="F137" s="7">
        <v>48000</v>
      </c>
      <c r="G137" s="7"/>
      <c r="H137" s="5">
        <f t="shared" si="5"/>
        <v>100</v>
      </c>
    </row>
    <row r="138" spans="1:10" ht="24.75">
      <c r="A138" s="1" t="s">
        <v>68</v>
      </c>
      <c r="B138" s="40" t="s">
        <v>98</v>
      </c>
      <c r="C138" s="39" t="s">
        <v>11</v>
      </c>
      <c r="D138" s="7">
        <v>63912</v>
      </c>
      <c r="E138" s="7">
        <v>63912</v>
      </c>
      <c r="F138" s="7">
        <v>63912</v>
      </c>
      <c r="G138" s="7"/>
      <c r="H138" s="5">
        <f t="shared" si="5"/>
        <v>100</v>
      </c>
    </row>
    <row r="139" spans="1:10">
      <c r="A139" s="1" t="s">
        <v>2</v>
      </c>
      <c r="B139" s="40" t="s">
        <v>97</v>
      </c>
      <c r="C139" s="39" t="s">
        <v>0</v>
      </c>
      <c r="D139" s="7">
        <v>5000</v>
      </c>
      <c r="E139" s="7">
        <v>5000</v>
      </c>
      <c r="F139" s="7">
        <v>5000</v>
      </c>
      <c r="G139" s="7"/>
      <c r="H139" s="5">
        <f t="shared" si="5"/>
        <v>100</v>
      </c>
    </row>
    <row r="140" spans="1:10" ht="24.75">
      <c r="A140" s="1" t="s">
        <v>2</v>
      </c>
      <c r="B140" s="40" t="s">
        <v>96</v>
      </c>
      <c r="C140" s="39" t="s">
        <v>11</v>
      </c>
      <c r="D140" s="7"/>
      <c r="E140" s="7">
        <f>20452+8924-5000</f>
        <v>24376</v>
      </c>
      <c r="F140" s="7">
        <v>24376</v>
      </c>
      <c r="G140" s="7"/>
      <c r="H140" s="5">
        <f t="shared" si="5"/>
        <v>100</v>
      </c>
    </row>
    <row r="141" spans="1:10" ht="30">
      <c r="A141" s="1" t="s">
        <v>2</v>
      </c>
      <c r="B141" s="40" t="s">
        <v>95</v>
      </c>
      <c r="C141" s="39" t="s">
        <v>11</v>
      </c>
      <c r="D141" s="7">
        <v>5000</v>
      </c>
      <c r="E141" s="7">
        <v>5000</v>
      </c>
      <c r="F141" s="7">
        <v>5000</v>
      </c>
      <c r="G141" s="7"/>
      <c r="H141" s="5">
        <f t="shared" si="5"/>
        <v>100</v>
      </c>
    </row>
    <row r="142" spans="1:10">
      <c r="A142" s="1" t="s">
        <v>2</v>
      </c>
      <c r="B142" s="40" t="s">
        <v>94</v>
      </c>
      <c r="C142" s="39" t="s">
        <v>0</v>
      </c>
      <c r="D142" s="7">
        <v>10000</v>
      </c>
      <c r="E142" s="7">
        <f>10000+1000</f>
        <v>11000</v>
      </c>
      <c r="F142" s="7">
        <v>10992</v>
      </c>
      <c r="G142" s="7"/>
      <c r="H142" s="5">
        <f t="shared" si="5"/>
        <v>99.9</v>
      </c>
    </row>
    <row r="143" spans="1:10" ht="30">
      <c r="A143" s="1" t="s">
        <v>62</v>
      </c>
      <c r="B143" s="40" t="s">
        <v>93</v>
      </c>
      <c r="C143" s="39" t="s">
        <v>11</v>
      </c>
      <c r="D143" s="7"/>
      <c r="E143" s="7">
        <v>4000</v>
      </c>
      <c r="F143" s="7">
        <v>4000</v>
      </c>
      <c r="G143" s="7"/>
      <c r="H143" s="5">
        <f t="shared" si="5"/>
        <v>100</v>
      </c>
    </row>
    <row r="144" spans="1:10" ht="24.75">
      <c r="A144" s="1" t="s">
        <v>62</v>
      </c>
      <c r="B144" s="40" t="s">
        <v>92</v>
      </c>
      <c r="C144" s="39" t="s">
        <v>11</v>
      </c>
      <c r="D144" s="7"/>
      <c r="E144" s="7">
        <v>5568</v>
      </c>
      <c r="F144" s="7">
        <v>5568</v>
      </c>
      <c r="G144" s="7"/>
      <c r="H144" s="5">
        <f t="shared" si="5"/>
        <v>100</v>
      </c>
    </row>
    <row r="145" spans="1:8" ht="30">
      <c r="A145" s="1" t="s">
        <v>62</v>
      </c>
      <c r="B145" s="40" t="s">
        <v>91</v>
      </c>
      <c r="C145" s="39" t="s">
        <v>11</v>
      </c>
      <c r="D145" s="7"/>
      <c r="E145" s="7">
        <v>10000</v>
      </c>
      <c r="F145" s="7">
        <v>10000</v>
      </c>
      <c r="G145" s="7"/>
      <c r="H145" s="5">
        <f t="shared" ref="H145:H176" si="6">ROUND(F145/E145*100,1)</f>
        <v>100</v>
      </c>
    </row>
    <row r="146" spans="1:8" ht="15.75">
      <c r="B146" s="42" t="s">
        <v>90</v>
      </c>
      <c r="C146" s="39"/>
      <c r="D146" s="7"/>
      <c r="E146" s="54">
        <f>SUM(E147:E149)</f>
        <v>21706</v>
      </c>
      <c r="F146" s="54">
        <f>SUM(F147:F149)</f>
        <v>21706</v>
      </c>
      <c r="G146" s="54"/>
      <c r="H146" s="5">
        <f t="shared" si="6"/>
        <v>100</v>
      </c>
    </row>
    <row r="147" spans="1:8" ht="30">
      <c r="A147" s="1" t="s">
        <v>62</v>
      </c>
      <c r="B147" s="40" t="s">
        <v>89</v>
      </c>
      <c r="C147" s="39" t="s">
        <v>11</v>
      </c>
      <c r="D147" s="7"/>
      <c r="E147" s="7">
        <v>1949</v>
      </c>
      <c r="F147" s="7">
        <v>1949</v>
      </c>
      <c r="G147" s="7"/>
      <c r="H147" s="5">
        <f t="shared" si="6"/>
        <v>100</v>
      </c>
    </row>
    <row r="148" spans="1:8">
      <c r="A148" s="1" t="s">
        <v>62</v>
      </c>
      <c r="B148" s="40" t="s">
        <v>88</v>
      </c>
      <c r="C148" s="39" t="s">
        <v>0</v>
      </c>
      <c r="D148" s="7"/>
      <c r="E148" s="7">
        <v>9437</v>
      </c>
      <c r="F148" s="7">
        <v>9437</v>
      </c>
      <c r="G148" s="7"/>
      <c r="H148" s="5">
        <f t="shared" si="6"/>
        <v>100</v>
      </c>
    </row>
    <row r="149" spans="1:8">
      <c r="A149" s="1" t="s">
        <v>62</v>
      </c>
      <c r="B149" s="40" t="s">
        <v>87</v>
      </c>
      <c r="C149" s="39" t="s">
        <v>0</v>
      </c>
      <c r="D149" s="7"/>
      <c r="E149" s="7">
        <v>10320</v>
      </c>
      <c r="F149" s="7">
        <v>10320</v>
      </c>
      <c r="G149" s="7"/>
      <c r="H149" s="5">
        <f t="shared" si="6"/>
        <v>100</v>
      </c>
    </row>
    <row r="150" spans="1:8">
      <c r="B150" s="40" t="s">
        <v>86</v>
      </c>
      <c r="C150" s="39"/>
      <c r="D150" s="11">
        <f>SUM(D151:D155)</f>
        <v>30000</v>
      </c>
      <c r="E150" s="11">
        <f>SUM(E151:E155)</f>
        <v>221000</v>
      </c>
      <c r="F150" s="11">
        <f>SUM(F151:F155)</f>
        <v>157621.69</v>
      </c>
      <c r="G150" s="11">
        <f>SUM(G151:G155)</f>
        <v>42453.65</v>
      </c>
      <c r="H150" s="5">
        <f t="shared" si="6"/>
        <v>71.3</v>
      </c>
    </row>
    <row r="151" spans="1:8">
      <c r="A151" s="1" t="s">
        <v>2</v>
      </c>
      <c r="B151" s="45" t="s">
        <v>85</v>
      </c>
      <c r="C151" s="39" t="s">
        <v>0</v>
      </c>
      <c r="D151" s="7">
        <v>20000</v>
      </c>
      <c r="E151" s="7">
        <f>20000+10000</f>
        <v>30000</v>
      </c>
      <c r="F151" s="7">
        <v>7401.95</v>
      </c>
      <c r="G151" s="7">
        <f>2528.75+1776</f>
        <v>4304.75</v>
      </c>
      <c r="H151" s="5">
        <f t="shared" si="6"/>
        <v>24.7</v>
      </c>
    </row>
    <row r="152" spans="1:8">
      <c r="A152" s="1" t="s">
        <v>2</v>
      </c>
      <c r="B152" s="45" t="s">
        <v>84</v>
      </c>
      <c r="C152" s="39" t="s">
        <v>0</v>
      </c>
      <c r="D152" s="7"/>
      <c r="E152" s="7">
        <f>3870+8130</f>
        <v>12000</v>
      </c>
      <c r="F152" s="7">
        <v>9952.93</v>
      </c>
      <c r="G152" s="7">
        <v>1194</v>
      </c>
      <c r="H152" s="5">
        <f t="shared" si="6"/>
        <v>82.9</v>
      </c>
    </row>
    <row r="153" spans="1:8">
      <c r="A153" s="53" t="s">
        <v>2</v>
      </c>
      <c r="B153" s="52" t="s">
        <v>84</v>
      </c>
      <c r="C153" s="51" t="s">
        <v>0</v>
      </c>
      <c r="D153" s="22"/>
      <c r="E153" s="22">
        <v>165000</v>
      </c>
      <c r="F153" s="22">
        <v>126267.81</v>
      </c>
      <c r="G153" s="22">
        <v>32954.9</v>
      </c>
      <c r="H153" s="27">
        <f t="shared" si="6"/>
        <v>76.5</v>
      </c>
    </row>
    <row r="154" spans="1:8" ht="30">
      <c r="A154" s="50" t="s">
        <v>62</v>
      </c>
      <c r="B154" s="49" t="s">
        <v>83</v>
      </c>
      <c r="C154" s="48" t="s">
        <v>11</v>
      </c>
      <c r="D154" s="9"/>
      <c r="E154" s="9">
        <v>4000</v>
      </c>
      <c r="F154" s="9">
        <v>4000</v>
      </c>
      <c r="G154" s="9">
        <v>4000</v>
      </c>
      <c r="H154" s="34">
        <f t="shared" si="6"/>
        <v>100</v>
      </c>
    </row>
    <row r="155" spans="1:8">
      <c r="A155" s="1" t="s">
        <v>62</v>
      </c>
      <c r="B155" s="45" t="s">
        <v>82</v>
      </c>
      <c r="C155" s="39" t="s">
        <v>0</v>
      </c>
      <c r="D155" s="7">
        <v>10000</v>
      </c>
      <c r="E155" s="7">
        <v>10000</v>
      </c>
      <c r="F155" s="7">
        <v>9999</v>
      </c>
      <c r="G155" s="7"/>
      <c r="H155" s="34">
        <f t="shared" si="6"/>
        <v>100</v>
      </c>
    </row>
    <row r="156" spans="1:8">
      <c r="B156" s="42" t="s">
        <v>81</v>
      </c>
      <c r="C156" s="47"/>
      <c r="D156" s="11">
        <f>SUM(D157:D157)</f>
        <v>22000</v>
      </c>
      <c r="E156" s="11">
        <f>SUM(E157:E157)</f>
        <v>40300</v>
      </c>
      <c r="F156" s="11">
        <f>SUM(F157:F157)</f>
        <v>40218</v>
      </c>
      <c r="G156" s="11">
        <f>SUM(G157:G157)</f>
        <v>40218</v>
      </c>
      <c r="H156" s="34">
        <f t="shared" si="6"/>
        <v>99.8</v>
      </c>
    </row>
    <row r="157" spans="1:8">
      <c r="A157" s="1" t="s">
        <v>2</v>
      </c>
      <c r="B157" s="45" t="s">
        <v>80</v>
      </c>
      <c r="C157" s="39" t="s">
        <v>0</v>
      </c>
      <c r="D157" s="7">
        <v>22000</v>
      </c>
      <c r="E157" s="7">
        <f>22000+6300+12000</f>
        <v>40300</v>
      </c>
      <c r="F157" s="7">
        <v>40218</v>
      </c>
      <c r="G157" s="7">
        <v>40218</v>
      </c>
      <c r="H157" s="34">
        <f t="shared" si="6"/>
        <v>99.8</v>
      </c>
    </row>
    <row r="158" spans="1:8">
      <c r="B158" s="46" t="s">
        <v>79</v>
      </c>
      <c r="C158" s="39"/>
      <c r="D158" s="7"/>
      <c r="E158" s="16">
        <f>SUM(E159:E161)</f>
        <v>10500</v>
      </c>
      <c r="F158" s="16">
        <f>SUM(F159:F161)</f>
        <v>10500</v>
      </c>
      <c r="G158" s="16">
        <f>SUM(G159:G161)</f>
        <v>0</v>
      </c>
      <c r="H158" s="34">
        <f t="shared" si="6"/>
        <v>100</v>
      </c>
    </row>
    <row r="159" spans="1:8" ht="24.75">
      <c r="A159" s="1" t="s">
        <v>62</v>
      </c>
      <c r="B159" s="40" t="s">
        <v>78</v>
      </c>
      <c r="C159" s="39" t="s">
        <v>11</v>
      </c>
      <c r="D159" s="7"/>
      <c r="E159" s="7">
        <v>2500</v>
      </c>
      <c r="F159" s="7">
        <v>2500</v>
      </c>
      <c r="G159" s="7"/>
      <c r="H159" s="34">
        <f t="shared" si="6"/>
        <v>100</v>
      </c>
    </row>
    <row r="160" spans="1:8" ht="30">
      <c r="A160" s="1" t="s">
        <v>62</v>
      </c>
      <c r="B160" s="40" t="s">
        <v>77</v>
      </c>
      <c r="C160" s="39" t="s">
        <v>11</v>
      </c>
      <c r="D160" s="7"/>
      <c r="E160" s="7">
        <v>6000</v>
      </c>
      <c r="F160" s="7">
        <v>6000</v>
      </c>
      <c r="G160" s="7"/>
      <c r="H160" s="34">
        <f t="shared" si="6"/>
        <v>100</v>
      </c>
    </row>
    <row r="161" spans="1:8" ht="30">
      <c r="A161" s="1" t="s">
        <v>62</v>
      </c>
      <c r="B161" s="40" t="s">
        <v>76</v>
      </c>
      <c r="C161" s="39" t="s">
        <v>11</v>
      </c>
      <c r="D161" s="7"/>
      <c r="E161" s="7">
        <v>2000</v>
      </c>
      <c r="F161" s="7">
        <v>2000</v>
      </c>
      <c r="G161" s="7"/>
      <c r="H161" s="34">
        <f t="shared" si="6"/>
        <v>100</v>
      </c>
    </row>
    <row r="162" spans="1:8">
      <c r="B162" s="46" t="s">
        <v>75</v>
      </c>
      <c r="C162" s="39"/>
      <c r="D162" s="7"/>
      <c r="E162" s="16">
        <f>SUM(E163)</f>
        <v>4088</v>
      </c>
      <c r="F162" s="16">
        <f>SUM(F163)</f>
        <v>4088.4</v>
      </c>
      <c r="G162" s="16">
        <f>SUM(G163)</f>
        <v>0</v>
      </c>
      <c r="H162" s="34">
        <f t="shared" si="6"/>
        <v>100</v>
      </c>
    </row>
    <row r="163" spans="1:8">
      <c r="A163" s="1" t="s">
        <v>2</v>
      </c>
      <c r="B163" s="45" t="s">
        <v>74</v>
      </c>
      <c r="C163" s="39" t="s">
        <v>0</v>
      </c>
      <c r="D163" s="7"/>
      <c r="E163" s="7">
        <v>4088</v>
      </c>
      <c r="F163" s="7">
        <v>4088.4</v>
      </c>
      <c r="G163" s="7"/>
      <c r="H163" s="34">
        <f t="shared" si="6"/>
        <v>100</v>
      </c>
    </row>
    <row r="164" spans="1:8">
      <c r="B164" s="42" t="s">
        <v>73</v>
      </c>
      <c r="C164" s="39"/>
      <c r="D164" s="11">
        <f>SUM(D165:D165)</f>
        <v>5000</v>
      </c>
      <c r="E164" s="11">
        <f>SUM(E165:E165)</f>
        <v>5000</v>
      </c>
      <c r="F164" s="11">
        <f>SUM(F165:F165)</f>
        <v>4813</v>
      </c>
      <c r="G164" s="11">
        <f>SUM(G165:G165)</f>
        <v>0</v>
      </c>
      <c r="H164" s="34">
        <f t="shared" si="6"/>
        <v>96.3</v>
      </c>
    </row>
    <row r="165" spans="1:8">
      <c r="A165" s="1" t="s">
        <v>2</v>
      </c>
      <c r="B165" s="45" t="s">
        <v>72</v>
      </c>
      <c r="C165" s="39" t="s">
        <v>0</v>
      </c>
      <c r="D165" s="7">
        <v>5000</v>
      </c>
      <c r="E165" s="7">
        <v>5000</v>
      </c>
      <c r="F165" s="7">
        <v>4813</v>
      </c>
      <c r="G165" s="7"/>
      <c r="H165" s="34">
        <f t="shared" si="6"/>
        <v>96.3</v>
      </c>
    </row>
    <row r="166" spans="1:8">
      <c r="B166" s="42" t="s">
        <v>71</v>
      </c>
      <c r="C166" s="44"/>
      <c r="D166" s="11">
        <f>SUM(D167:D171)</f>
        <v>191823</v>
      </c>
      <c r="E166" s="11">
        <f>SUM(E167:E171)</f>
        <v>206823</v>
      </c>
      <c r="F166" s="11">
        <f>SUM(F167:F171)</f>
        <v>193889</v>
      </c>
      <c r="G166" s="11">
        <f>SUM(G167:G171)</f>
        <v>5537</v>
      </c>
      <c r="H166" s="5">
        <f t="shared" si="6"/>
        <v>93.7</v>
      </c>
    </row>
    <row r="167" spans="1:8" ht="24.75">
      <c r="A167" s="1" t="s">
        <v>2</v>
      </c>
      <c r="B167" s="43" t="s">
        <v>70</v>
      </c>
      <c r="C167" s="39" t="s">
        <v>11</v>
      </c>
      <c r="D167" s="7">
        <v>127823</v>
      </c>
      <c r="E167" s="7">
        <v>127823</v>
      </c>
      <c r="F167" s="7">
        <v>127823</v>
      </c>
      <c r="G167" s="7"/>
      <c r="H167" s="5">
        <f t="shared" si="6"/>
        <v>100</v>
      </c>
    </row>
    <row r="168" spans="1:8" ht="24.75">
      <c r="A168" s="1" t="s">
        <v>2</v>
      </c>
      <c r="B168" s="43" t="s">
        <v>69</v>
      </c>
      <c r="C168" s="39" t="s">
        <v>11</v>
      </c>
      <c r="D168" s="7"/>
      <c r="E168" s="7">
        <v>5000</v>
      </c>
      <c r="F168" s="7">
        <v>5000</v>
      </c>
      <c r="G168" s="7"/>
      <c r="H168" s="5">
        <f t="shared" si="6"/>
        <v>100</v>
      </c>
    </row>
    <row r="169" spans="1:8" ht="24.75">
      <c r="A169" s="1" t="s">
        <v>68</v>
      </c>
      <c r="B169" s="43" t="s">
        <v>67</v>
      </c>
      <c r="C169" s="39" t="s">
        <v>11</v>
      </c>
      <c r="D169" s="7">
        <v>32000</v>
      </c>
      <c r="E169" s="7">
        <v>32000</v>
      </c>
      <c r="F169" s="7">
        <v>32000</v>
      </c>
      <c r="G169" s="7"/>
      <c r="H169" s="5">
        <f t="shared" si="6"/>
        <v>100</v>
      </c>
    </row>
    <row r="170" spans="1:8">
      <c r="A170" s="1" t="s">
        <v>65</v>
      </c>
      <c r="B170" s="43" t="s">
        <v>66</v>
      </c>
      <c r="C170" s="39" t="s">
        <v>0</v>
      </c>
      <c r="D170" s="7"/>
      <c r="E170" s="7">
        <v>10000</v>
      </c>
      <c r="F170" s="7">
        <v>6600</v>
      </c>
      <c r="G170" s="7">
        <v>1200</v>
      </c>
      <c r="H170" s="5">
        <f t="shared" si="6"/>
        <v>66</v>
      </c>
    </row>
    <row r="171" spans="1:8" ht="24.75">
      <c r="A171" s="1" t="s">
        <v>65</v>
      </c>
      <c r="B171" s="40" t="s">
        <v>64</v>
      </c>
      <c r="C171" s="39" t="s">
        <v>11</v>
      </c>
      <c r="D171" s="7">
        <v>32000</v>
      </c>
      <c r="E171" s="7">
        <v>32000</v>
      </c>
      <c r="F171" s="7">
        <v>22466</v>
      </c>
      <c r="G171" s="7">
        <v>4337</v>
      </c>
      <c r="H171" s="5">
        <f t="shared" si="6"/>
        <v>70.2</v>
      </c>
    </row>
    <row r="172" spans="1:8" ht="15.75">
      <c r="B172" s="42" t="s">
        <v>63</v>
      </c>
      <c r="C172" s="39"/>
      <c r="D172" s="7"/>
      <c r="E172" s="41">
        <f>SUM(E173)</f>
        <v>140000</v>
      </c>
      <c r="F172" s="16">
        <f>SUM(F173)</f>
        <v>140000</v>
      </c>
      <c r="G172" s="16">
        <f>SUM(G173)</f>
        <v>45869.599999999999</v>
      </c>
      <c r="H172" s="5">
        <f t="shared" si="6"/>
        <v>100</v>
      </c>
    </row>
    <row r="173" spans="1:8">
      <c r="A173" s="1" t="s">
        <v>62</v>
      </c>
      <c r="B173" s="40" t="s">
        <v>61</v>
      </c>
      <c r="C173" s="39" t="s">
        <v>0</v>
      </c>
      <c r="D173" s="7"/>
      <c r="E173" s="7">
        <v>140000</v>
      </c>
      <c r="F173" s="7">
        <v>140000</v>
      </c>
      <c r="G173" s="7">
        <v>45869.599999999999</v>
      </c>
      <c r="H173" s="5">
        <f t="shared" si="6"/>
        <v>100</v>
      </c>
    </row>
    <row r="174" spans="1:8">
      <c r="B174" s="15" t="s">
        <v>60</v>
      </c>
      <c r="C174" s="14"/>
      <c r="D174" s="16">
        <f>SUM(D175,D192,D199,D210,D212,D217,D219)</f>
        <v>5916780</v>
      </c>
      <c r="E174" s="16">
        <f>SUM(E175,E192,E199,E210,E212,E217,E219,E222)</f>
        <v>7041596</v>
      </c>
      <c r="F174" s="16">
        <f>SUM(F175,F192,F199,F210,F212,F217,F219,F222)</f>
        <v>4490917.3800000008</v>
      </c>
      <c r="G174" s="16">
        <f>SUM(G175,G192,G199,G210,G212,G217,G219,G222)</f>
        <v>1056503.0899999999</v>
      </c>
      <c r="H174" s="17">
        <f t="shared" si="6"/>
        <v>63.8</v>
      </c>
    </row>
    <row r="175" spans="1:8">
      <c r="B175" s="13" t="s">
        <v>59</v>
      </c>
      <c r="C175" s="14"/>
      <c r="D175" s="11">
        <f>SUM(D176:D190)</f>
        <v>1108312</v>
      </c>
      <c r="E175" s="11">
        <f>SUM(E176:E191)</f>
        <v>1427501</v>
      </c>
      <c r="F175" s="11">
        <f>SUM(F176:F191)</f>
        <v>771201.25000000012</v>
      </c>
      <c r="G175" s="11">
        <f>SUM(G176:G191)</f>
        <v>83192.59</v>
      </c>
      <c r="H175" s="5">
        <f t="shared" si="6"/>
        <v>54</v>
      </c>
    </row>
    <row r="176" spans="1:8" ht="24.75">
      <c r="A176" s="1" t="s">
        <v>13</v>
      </c>
      <c r="B176" s="10" t="s">
        <v>58</v>
      </c>
      <c r="C176" s="8" t="s">
        <v>11</v>
      </c>
      <c r="D176" s="7">
        <v>178312</v>
      </c>
      <c r="E176" s="7">
        <v>178312</v>
      </c>
      <c r="F176" s="7">
        <v>145239</v>
      </c>
      <c r="G176" s="7"/>
      <c r="H176" s="5">
        <f t="shared" si="6"/>
        <v>81.5</v>
      </c>
    </row>
    <row r="177" spans="1:8">
      <c r="A177" s="1" t="s">
        <v>2</v>
      </c>
      <c r="B177" s="38" t="s">
        <v>57</v>
      </c>
      <c r="C177" s="37" t="s">
        <v>0</v>
      </c>
      <c r="D177" s="36"/>
      <c r="E177" s="36"/>
      <c r="F177" s="36">
        <v>-12799.4</v>
      </c>
      <c r="G177" s="36"/>
      <c r="H177" s="32"/>
    </row>
    <row r="178" spans="1:8">
      <c r="A178" s="1" t="s">
        <v>2</v>
      </c>
      <c r="B178" s="10" t="s">
        <v>56</v>
      </c>
      <c r="C178" s="8" t="s">
        <v>0</v>
      </c>
      <c r="D178" s="7">
        <v>60000</v>
      </c>
      <c r="E178" s="7">
        <v>60000</v>
      </c>
      <c r="F178" s="7">
        <v>8944</v>
      </c>
      <c r="G178" s="7">
        <v>5328</v>
      </c>
      <c r="H178" s="5">
        <f>ROUND(F178/E178*100,1)</f>
        <v>14.9</v>
      </c>
    </row>
    <row r="179" spans="1:8">
      <c r="A179" s="1" t="s">
        <v>2</v>
      </c>
      <c r="B179" s="10" t="s">
        <v>55</v>
      </c>
      <c r="C179" s="8" t="s">
        <v>0</v>
      </c>
      <c r="D179" s="7">
        <v>150000</v>
      </c>
      <c r="E179" s="7">
        <f>150000+18000</f>
        <v>168000</v>
      </c>
      <c r="F179" s="7">
        <v>167107.49</v>
      </c>
      <c r="G179" s="7"/>
      <c r="H179" s="5">
        <f>ROUND(F179/E179*100,1)</f>
        <v>99.5</v>
      </c>
    </row>
    <row r="180" spans="1:8">
      <c r="A180" s="1" t="s">
        <v>2</v>
      </c>
      <c r="B180" s="10" t="s">
        <v>54</v>
      </c>
      <c r="C180" s="8" t="s">
        <v>0</v>
      </c>
      <c r="D180" s="7"/>
      <c r="E180" s="7">
        <f>30000+28000</f>
        <v>58000</v>
      </c>
      <c r="F180" s="7">
        <v>57333.96</v>
      </c>
      <c r="G180" s="7">
        <v>11045.83</v>
      </c>
      <c r="H180" s="5">
        <f>ROUND(F180/E180*100,1)</f>
        <v>98.9</v>
      </c>
    </row>
    <row r="181" spans="1:8">
      <c r="A181" s="1" t="s">
        <v>2</v>
      </c>
      <c r="B181" s="10" t="s">
        <v>53</v>
      </c>
      <c r="C181" s="8" t="s">
        <v>0</v>
      </c>
      <c r="D181" s="7">
        <v>40000</v>
      </c>
      <c r="E181" s="7">
        <f>40000+6500</f>
        <v>46500</v>
      </c>
      <c r="F181" s="7">
        <v>46805.56</v>
      </c>
      <c r="G181" s="7">
        <v>1859.4</v>
      </c>
      <c r="H181" s="5">
        <f>ROUND(F181/E181*100,1)</f>
        <v>100.7</v>
      </c>
    </row>
    <row r="182" spans="1:8">
      <c r="A182" s="1" t="s">
        <v>2</v>
      </c>
      <c r="B182" s="10" t="s">
        <v>52</v>
      </c>
      <c r="C182" s="8" t="s">
        <v>0</v>
      </c>
      <c r="D182" s="7">
        <f>100000+500000</f>
        <v>600000</v>
      </c>
      <c r="E182" s="7">
        <f>100000+500000+60000</f>
        <v>660000</v>
      </c>
      <c r="F182" s="7">
        <v>118879.91</v>
      </c>
      <c r="G182" s="7">
        <v>30852.36</v>
      </c>
      <c r="H182" s="5">
        <f>ROUND(F182/E182*100,1)</f>
        <v>18</v>
      </c>
    </row>
    <row r="183" spans="1:8">
      <c r="A183" s="1" t="s">
        <v>2</v>
      </c>
      <c r="B183" s="10" t="s">
        <v>51</v>
      </c>
      <c r="C183" s="8" t="s">
        <v>0</v>
      </c>
      <c r="D183" s="7">
        <v>20000</v>
      </c>
      <c r="E183" s="7">
        <f>38000-38000</f>
        <v>0</v>
      </c>
      <c r="F183" s="7"/>
      <c r="G183" s="7"/>
      <c r="H183" s="5"/>
    </row>
    <row r="184" spans="1:8">
      <c r="A184" s="1" t="s">
        <v>2</v>
      </c>
      <c r="B184" s="10" t="s">
        <v>50</v>
      </c>
      <c r="C184" s="8" t="s">
        <v>0</v>
      </c>
      <c r="D184" s="7">
        <v>30000</v>
      </c>
      <c r="E184" s="7">
        <f>30000+2000</f>
        <v>32000</v>
      </c>
      <c r="F184" s="7">
        <v>30624</v>
      </c>
      <c r="G184" s="7"/>
      <c r="H184" s="5">
        <f>ROUND(F184/E184*100,1)</f>
        <v>95.7</v>
      </c>
    </row>
    <row r="185" spans="1:8">
      <c r="A185" s="1" t="s">
        <v>2</v>
      </c>
      <c r="B185" s="10" t="s">
        <v>49</v>
      </c>
      <c r="C185" s="8" t="s">
        <v>0</v>
      </c>
      <c r="D185" s="7"/>
      <c r="E185" s="7">
        <f>28696-11100</f>
        <v>17596</v>
      </c>
      <c r="F185" s="7">
        <v>17580</v>
      </c>
      <c r="G185" s="7"/>
      <c r="H185" s="5">
        <f>ROUND(F185/E185*100,1)</f>
        <v>99.9</v>
      </c>
    </row>
    <row r="186" spans="1:8">
      <c r="A186" s="1" t="s">
        <v>2</v>
      </c>
      <c r="B186" s="10" t="s">
        <v>48</v>
      </c>
      <c r="C186" s="8" t="s">
        <v>0</v>
      </c>
      <c r="D186" s="8"/>
      <c r="E186" s="7">
        <f>12193+2100</f>
        <v>14293</v>
      </c>
      <c r="F186" s="7">
        <v>14297.78</v>
      </c>
      <c r="G186" s="7"/>
      <c r="H186" s="5">
        <f>ROUND(F186/E186*100,1)</f>
        <v>100</v>
      </c>
    </row>
    <row r="187" spans="1:8">
      <c r="A187" s="1" t="s">
        <v>2</v>
      </c>
      <c r="B187" s="19" t="s">
        <v>47</v>
      </c>
      <c r="C187" s="35" t="s">
        <v>0</v>
      </c>
      <c r="D187" s="9"/>
      <c r="E187" s="9">
        <v>45000</v>
      </c>
      <c r="F187" s="9">
        <v>34827.31</v>
      </c>
      <c r="G187" s="9"/>
      <c r="H187" s="34">
        <f>ROUND(F187/E187*100,1)</f>
        <v>77.400000000000006</v>
      </c>
    </row>
    <row r="188" spans="1:8">
      <c r="A188" s="1" t="s">
        <v>2</v>
      </c>
      <c r="B188" s="10" t="s">
        <v>46</v>
      </c>
      <c r="C188" s="8" t="s">
        <v>0</v>
      </c>
      <c r="D188" s="7"/>
      <c r="E188" s="7">
        <f>110000-31200</f>
        <v>78800</v>
      </c>
      <c r="F188" s="7">
        <v>74196</v>
      </c>
      <c r="G188" s="7">
        <v>20526</v>
      </c>
      <c r="H188" s="5">
        <f>ROUND(F188/E188*100,1)</f>
        <v>94.2</v>
      </c>
    </row>
    <row r="189" spans="1:8" ht="24.75">
      <c r="A189" s="1" t="s">
        <v>2</v>
      </c>
      <c r="B189" s="10" t="s">
        <v>45</v>
      </c>
      <c r="C189" s="8" t="s">
        <v>11</v>
      </c>
      <c r="D189" s="7"/>
      <c r="E189" s="7">
        <f>20000-20000</f>
        <v>0</v>
      </c>
      <c r="F189" s="7"/>
      <c r="G189" s="7"/>
      <c r="H189" s="5"/>
    </row>
    <row r="190" spans="1:8">
      <c r="A190" s="1" t="s">
        <v>2</v>
      </c>
      <c r="B190" s="10" t="s">
        <v>44</v>
      </c>
      <c r="C190" s="8" t="s">
        <v>0</v>
      </c>
      <c r="D190" s="7">
        <v>30000</v>
      </c>
      <c r="E190" s="7">
        <f>30000+14000</f>
        <v>44000</v>
      </c>
      <c r="F190" s="7">
        <v>43876.800000000003</v>
      </c>
      <c r="G190" s="7"/>
      <c r="H190" s="5">
        <f t="shared" ref="H190:H231" si="7">ROUND(F190/E190*100,1)</f>
        <v>99.7</v>
      </c>
    </row>
    <row r="191" spans="1:8">
      <c r="A191" s="1" t="s">
        <v>2</v>
      </c>
      <c r="B191" s="10" t="s">
        <v>43</v>
      </c>
      <c r="C191" s="8" t="s">
        <v>0</v>
      </c>
      <c r="D191" s="7"/>
      <c r="E191" s="7">
        <v>25000</v>
      </c>
      <c r="F191" s="7">
        <v>24288.84</v>
      </c>
      <c r="G191" s="7">
        <f>5823+7758</f>
        <v>13581</v>
      </c>
      <c r="H191" s="5">
        <f t="shared" si="7"/>
        <v>97.2</v>
      </c>
    </row>
    <row r="192" spans="1:8">
      <c r="B192" s="13" t="s">
        <v>42</v>
      </c>
      <c r="C192" s="14"/>
      <c r="D192" s="11">
        <f>SUM(D193:D198)</f>
        <v>227400</v>
      </c>
      <c r="E192" s="11">
        <f>SUM(E193:E198)</f>
        <v>356699</v>
      </c>
      <c r="F192" s="11">
        <f>SUM(F193:F198)</f>
        <v>333457.01</v>
      </c>
      <c r="G192" s="11">
        <f>SUM(G193:G198)</f>
        <v>32300.300000000003</v>
      </c>
      <c r="H192" s="5">
        <f t="shared" si="7"/>
        <v>93.5</v>
      </c>
    </row>
    <row r="193" spans="1:8">
      <c r="A193" s="1" t="s">
        <v>2</v>
      </c>
      <c r="B193" s="10" t="s">
        <v>41</v>
      </c>
      <c r="C193" s="8" t="s">
        <v>0</v>
      </c>
      <c r="D193" s="7">
        <v>80000</v>
      </c>
      <c r="E193" s="7">
        <f>80000+22000</f>
        <v>102000</v>
      </c>
      <c r="F193" s="7">
        <v>101459.66</v>
      </c>
      <c r="G193" s="7"/>
      <c r="H193" s="5">
        <f t="shared" si="7"/>
        <v>99.5</v>
      </c>
    </row>
    <row r="194" spans="1:8">
      <c r="A194" s="1" t="s">
        <v>2</v>
      </c>
      <c r="B194" s="10" t="s">
        <v>40</v>
      </c>
      <c r="C194" s="8" t="s">
        <v>0</v>
      </c>
      <c r="D194" s="7">
        <v>60000</v>
      </c>
      <c r="E194" s="7">
        <f>60000+30000+25000</f>
        <v>115000</v>
      </c>
      <c r="F194" s="7">
        <v>100298.91</v>
      </c>
      <c r="G194" s="7">
        <v>23609.040000000001</v>
      </c>
      <c r="H194" s="5">
        <f t="shared" si="7"/>
        <v>87.2</v>
      </c>
    </row>
    <row r="195" spans="1:8">
      <c r="A195" s="1" t="s">
        <v>2</v>
      </c>
      <c r="B195" s="23" t="s">
        <v>40</v>
      </c>
      <c r="C195" s="33" t="s">
        <v>0</v>
      </c>
      <c r="D195" s="22"/>
      <c r="E195" s="22">
        <v>31956</v>
      </c>
      <c r="F195" s="22">
        <v>28760.400000000001</v>
      </c>
      <c r="G195" s="22">
        <v>8691.26</v>
      </c>
      <c r="H195" s="32">
        <f t="shared" si="7"/>
        <v>90</v>
      </c>
    </row>
    <row r="196" spans="1:8">
      <c r="A196" s="1" t="s">
        <v>2</v>
      </c>
      <c r="B196" s="10" t="s">
        <v>39</v>
      </c>
      <c r="C196" s="8" t="s">
        <v>0</v>
      </c>
      <c r="D196" s="7">
        <v>80000</v>
      </c>
      <c r="E196" s="7">
        <v>80000</v>
      </c>
      <c r="F196" s="7">
        <v>75230.84</v>
      </c>
      <c r="G196" s="7"/>
      <c r="H196" s="5">
        <f t="shared" si="7"/>
        <v>94</v>
      </c>
    </row>
    <row r="197" spans="1:8">
      <c r="A197" s="1" t="s">
        <v>2</v>
      </c>
      <c r="B197" s="10" t="s">
        <v>38</v>
      </c>
      <c r="C197" s="8" t="s">
        <v>0</v>
      </c>
      <c r="D197" s="7"/>
      <c r="E197" s="7">
        <f>42443-22100</f>
        <v>20343</v>
      </c>
      <c r="F197" s="7">
        <v>20310</v>
      </c>
      <c r="G197" s="7"/>
      <c r="H197" s="5">
        <f t="shared" si="7"/>
        <v>99.8</v>
      </c>
    </row>
    <row r="198" spans="1:8">
      <c r="A198" s="1" t="s">
        <v>13</v>
      </c>
      <c r="B198" s="10" t="s">
        <v>37</v>
      </c>
      <c r="C198" s="8" t="s">
        <v>0</v>
      </c>
      <c r="D198" s="7">
        <v>7400</v>
      </c>
      <c r="E198" s="7">
        <v>7400</v>
      </c>
      <c r="F198" s="7">
        <v>7397.2</v>
      </c>
      <c r="G198" s="7"/>
      <c r="H198" s="5">
        <f t="shared" si="7"/>
        <v>100</v>
      </c>
    </row>
    <row r="199" spans="1:8">
      <c r="B199" s="31" t="s">
        <v>36</v>
      </c>
      <c r="C199" s="30"/>
      <c r="D199" s="25">
        <f>SUM(D200:D209)</f>
        <v>4143000</v>
      </c>
      <c r="E199" s="25">
        <f>SUM(E200:E209)</f>
        <v>4406571</v>
      </c>
      <c r="F199" s="25">
        <f>SUM(F200:F209)</f>
        <v>2763927.29</v>
      </c>
      <c r="G199" s="25">
        <f>SUM(G200:G209)</f>
        <v>861850.2</v>
      </c>
      <c r="H199" s="5">
        <f t="shared" si="7"/>
        <v>62.7</v>
      </c>
    </row>
    <row r="200" spans="1:8">
      <c r="A200" s="1" t="s">
        <v>2</v>
      </c>
      <c r="B200" s="26" t="s">
        <v>35</v>
      </c>
      <c r="C200" s="18" t="s">
        <v>0</v>
      </c>
      <c r="D200" s="24">
        <v>450000</v>
      </c>
      <c r="E200" s="24">
        <f>450000+40000-32000</f>
        <v>458000</v>
      </c>
      <c r="F200" s="7">
        <v>456394.9</v>
      </c>
      <c r="G200" s="7"/>
      <c r="H200" s="5">
        <f t="shared" si="7"/>
        <v>99.6</v>
      </c>
    </row>
    <row r="201" spans="1:8">
      <c r="A201" s="1" t="s">
        <v>2</v>
      </c>
      <c r="B201" s="26" t="s">
        <v>34</v>
      </c>
      <c r="C201" s="18" t="s">
        <v>0</v>
      </c>
      <c r="D201" s="24">
        <v>400000</v>
      </c>
      <c r="E201" s="24">
        <f>400000+91000+28000</f>
        <v>519000</v>
      </c>
      <c r="F201" s="7">
        <v>515845.66</v>
      </c>
      <c r="G201" s="7"/>
      <c r="H201" s="5">
        <f t="shared" si="7"/>
        <v>99.4</v>
      </c>
    </row>
    <row r="202" spans="1:8" ht="30">
      <c r="A202" s="1" t="s">
        <v>2</v>
      </c>
      <c r="B202" s="26" t="s">
        <v>33</v>
      </c>
      <c r="C202" s="18" t="s">
        <v>0</v>
      </c>
      <c r="D202" s="24">
        <v>40000</v>
      </c>
      <c r="E202" s="24">
        <f>40000+28017+54+1800</f>
        <v>69871</v>
      </c>
      <c r="F202" s="7">
        <v>70008.23</v>
      </c>
      <c r="G202" s="7">
        <v>720</v>
      </c>
      <c r="H202" s="5">
        <f t="shared" si="7"/>
        <v>100.2</v>
      </c>
    </row>
    <row r="203" spans="1:8">
      <c r="A203" s="1" t="s">
        <v>2</v>
      </c>
      <c r="B203" s="26" t="s">
        <v>32</v>
      </c>
      <c r="C203" s="18" t="s">
        <v>0</v>
      </c>
      <c r="D203" s="24">
        <v>500000</v>
      </c>
      <c r="E203" s="24">
        <v>500000</v>
      </c>
      <c r="F203" s="7">
        <v>373960.52</v>
      </c>
      <c r="G203" s="7">
        <v>229921.76</v>
      </c>
      <c r="H203" s="5">
        <f t="shared" si="7"/>
        <v>74.8</v>
      </c>
    </row>
    <row r="204" spans="1:8">
      <c r="A204" s="1" t="s">
        <v>2</v>
      </c>
      <c r="B204" s="29" t="s">
        <v>32</v>
      </c>
      <c r="C204" s="28" t="s">
        <v>0</v>
      </c>
      <c r="D204" s="22">
        <v>2500000</v>
      </c>
      <c r="E204" s="22">
        <v>2500000</v>
      </c>
      <c r="F204" s="22">
        <v>988013.42</v>
      </c>
      <c r="G204" s="22">
        <v>631208.43999999994</v>
      </c>
      <c r="H204" s="27">
        <f t="shared" si="7"/>
        <v>39.5</v>
      </c>
    </row>
    <row r="205" spans="1:8">
      <c r="A205" s="1" t="s">
        <v>2</v>
      </c>
      <c r="B205" s="26" t="s">
        <v>31</v>
      </c>
      <c r="C205" s="18" t="s">
        <v>0</v>
      </c>
      <c r="D205" s="24">
        <v>200000</v>
      </c>
      <c r="E205" s="24">
        <f>200000+24000+52000</f>
        <v>276000</v>
      </c>
      <c r="F205" s="7">
        <v>275745.90000000002</v>
      </c>
      <c r="G205" s="7"/>
      <c r="H205" s="5">
        <f t="shared" si="7"/>
        <v>99.9</v>
      </c>
    </row>
    <row r="206" spans="1:8">
      <c r="A206" s="1" t="s">
        <v>13</v>
      </c>
      <c r="B206" s="26" t="s">
        <v>30</v>
      </c>
      <c r="C206" s="18" t="s">
        <v>0</v>
      </c>
      <c r="D206" s="24"/>
      <c r="E206" s="24">
        <v>20000</v>
      </c>
      <c r="F206" s="7">
        <v>20000</v>
      </c>
      <c r="G206" s="7"/>
      <c r="H206" s="5">
        <f t="shared" si="7"/>
        <v>100</v>
      </c>
    </row>
    <row r="207" spans="1:8">
      <c r="A207" s="1" t="s">
        <v>2</v>
      </c>
      <c r="B207" s="26" t="s">
        <v>29</v>
      </c>
      <c r="C207" s="18" t="s">
        <v>0</v>
      </c>
      <c r="D207" s="24">
        <v>43000</v>
      </c>
      <c r="E207" s="24">
        <f>43000+3500</f>
        <v>46500</v>
      </c>
      <c r="F207" s="7">
        <v>46508.66</v>
      </c>
      <c r="G207" s="7"/>
      <c r="H207" s="5">
        <f t="shared" si="7"/>
        <v>100</v>
      </c>
    </row>
    <row r="208" spans="1:8">
      <c r="A208" s="1" t="s">
        <v>13</v>
      </c>
      <c r="B208" s="26" t="s">
        <v>28</v>
      </c>
      <c r="C208" s="18" t="s">
        <v>0</v>
      </c>
      <c r="D208" s="24"/>
      <c r="E208" s="24">
        <f>3200+4000</f>
        <v>7200</v>
      </c>
      <c r="F208" s="7">
        <v>7200</v>
      </c>
      <c r="G208" s="7"/>
      <c r="H208" s="5">
        <f t="shared" si="7"/>
        <v>100</v>
      </c>
    </row>
    <row r="209" spans="1:8">
      <c r="A209" s="1" t="s">
        <v>2</v>
      </c>
      <c r="B209" s="26" t="s">
        <v>27</v>
      </c>
      <c r="C209" s="18" t="s">
        <v>0</v>
      </c>
      <c r="D209" s="24">
        <v>10000</v>
      </c>
      <c r="E209" s="24">
        <v>10000</v>
      </c>
      <c r="F209" s="7">
        <v>10250</v>
      </c>
      <c r="G209" s="7"/>
      <c r="H209" s="5">
        <f t="shared" si="7"/>
        <v>102.5</v>
      </c>
    </row>
    <row r="210" spans="1:8">
      <c r="B210" s="10" t="s">
        <v>26</v>
      </c>
      <c r="C210" s="18"/>
      <c r="D210" s="25">
        <f>SUM(D211:D211)</f>
        <v>10000</v>
      </c>
      <c r="E210" s="25">
        <f>SUM(E211:E211)</f>
        <v>10000</v>
      </c>
      <c r="F210" s="25">
        <f>SUM(F211:F211)</f>
        <v>9997.3700000000008</v>
      </c>
      <c r="G210" s="25"/>
      <c r="H210" s="5">
        <f t="shared" si="7"/>
        <v>100</v>
      </c>
    </row>
    <row r="211" spans="1:8">
      <c r="A211" s="1" t="s">
        <v>2</v>
      </c>
      <c r="B211" s="10" t="s">
        <v>25</v>
      </c>
      <c r="C211" s="18" t="s">
        <v>0</v>
      </c>
      <c r="D211" s="24">
        <v>10000</v>
      </c>
      <c r="E211" s="24">
        <v>10000</v>
      </c>
      <c r="F211" s="7">
        <v>9997.3700000000008</v>
      </c>
      <c r="G211" s="7"/>
      <c r="H211" s="5">
        <f t="shared" si="7"/>
        <v>100</v>
      </c>
    </row>
    <row r="212" spans="1:8">
      <c r="B212" s="10" t="s">
        <v>24</v>
      </c>
      <c r="C212" s="18"/>
      <c r="D212" s="11">
        <v>114431</v>
      </c>
      <c r="E212" s="11">
        <f>SUM(E213:E216)</f>
        <v>430869</v>
      </c>
      <c r="F212" s="11">
        <f>SUM(F213:F216)</f>
        <v>396600.1</v>
      </c>
      <c r="G212" s="11">
        <f>SUM(G213:G216)</f>
        <v>40653.4</v>
      </c>
      <c r="H212" s="5">
        <f t="shared" si="7"/>
        <v>92</v>
      </c>
    </row>
    <row r="213" spans="1:8">
      <c r="A213" s="1" t="s">
        <v>13</v>
      </c>
      <c r="B213" s="10" t="s">
        <v>23</v>
      </c>
      <c r="C213" s="18" t="s">
        <v>0</v>
      </c>
      <c r="D213" s="7">
        <v>25675</v>
      </c>
      <c r="E213" s="20">
        <f>116532+24614+2426</f>
        <v>143572</v>
      </c>
      <c r="F213" s="7">
        <v>114744.3</v>
      </c>
      <c r="G213" s="7">
        <v>40653.4</v>
      </c>
      <c r="H213" s="5">
        <f t="shared" si="7"/>
        <v>79.900000000000006</v>
      </c>
    </row>
    <row r="214" spans="1:8">
      <c r="A214" s="1" t="s">
        <v>13</v>
      </c>
      <c r="B214" s="23" t="s">
        <v>22</v>
      </c>
      <c r="C214" s="21" t="s">
        <v>0</v>
      </c>
      <c r="D214" s="22">
        <v>88756</v>
      </c>
      <c r="E214" s="7">
        <v>125840</v>
      </c>
      <c r="F214" s="7">
        <v>123563.8</v>
      </c>
      <c r="G214" s="7"/>
      <c r="H214" s="5">
        <f t="shared" si="7"/>
        <v>98.2</v>
      </c>
    </row>
    <row r="215" spans="1:8">
      <c r="A215" s="1" t="s">
        <v>13</v>
      </c>
      <c r="B215" s="19" t="s">
        <v>21</v>
      </c>
      <c r="C215" s="21" t="s">
        <v>0</v>
      </c>
      <c r="D215" s="9"/>
      <c r="E215" s="20">
        <v>43333</v>
      </c>
      <c r="F215" s="7">
        <v>55022</v>
      </c>
      <c r="G215" s="7"/>
      <c r="H215" s="5">
        <f t="shared" si="7"/>
        <v>127</v>
      </c>
    </row>
    <row r="216" spans="1:8">
      <c r="A216" s="1" t="s">
        <v>13</v>
      </c>
      <c r="B216" s="19" t="s">
        <v>20</v>
      </c>
      <c r="C216" s="21" t="s">
        <v>0</v>
      </c>
      <c r="D216" s="9"/>
      <c r="E216" s="20">
        <f>85000+33124</f>
        <v>118124</v>
      </c>
      <c r="F216" s="7">
        <v>103270</v>
      </c>
      <c r="G216" s="7"/>
      <c r="H216" s="5">
        <f t="shared" si="7"/>
        <v>87.4</v>
      </c>
    </row>
    <row r="217" spans="1:8">
      <c r="B217" s="10" t="s">
        <v>19</v>
      </c>
      <c r="C217" s="18"/>
      <c r="D217" s="16">
        <f>SUM(D218)</f>
        <v>33637</v>
      </c>
      <c r="E217" s="16">
        <f>SUM(E218)</f>
        <v>34983</v>
      </c>
      <c r="F217" s="16">
        <f>SUM(F218)</f>
        <v>0</v>
      </c>
      <c r="G217" s="16"/>
      <c r="H217" s="5">
        <f t="shared" si="7"/>
        <v>0</v>
      </c>
    </row>
    <row r="218" spans="1:8">
      <c r="A218" s="1" t="s">
        <v>13</v>
      </c>
      <c r="B218" s="19" t="s">
        <v>18</v>
      </c>
      <c r="C218" s="18" t="s">
        <v>0</v>
      </c>
      <c r="D218" s="7">
        <v>33637</v>
      </c>
      <c r="E218" s="7">
        <f>33637+34983-33637</f>
        <v>34983</v>
      </c>
      <c r="F218" s="7"/>
      <c r="G218" s="7"/>
      <c r="H218" s="5">
        <f t="shared" si="7"/>
        <v>0</v>
      </c>
    </row>
    <row r="219" spans="1:8">
      <c r="B219" s="13" t="s">
        <v>17</v>
      </c>
      <c r="C219" s="14"/>
      <c r="D219" s="11">
        <f>SUM(D220:D221)</f>
        <v>280000</v>
      </c>
      <c r="E219" s="11">
        <f>SUM(E220:E221)</f>
        <v>364973</v>
      </c>
      <c r="F219" s="11">
        <f>SUM(F220:F221)</f>
        <v>205734.36</v>
      </c>
      <c r="G219" s="11">
        <f>SUM(G220:G221)</f>
        <v>28506.6</v>
      </c>
      <c r="H219" s="5">
        <f t="shared" si="7"/>
        <v>56.4</v>
      </c>
    </row>
    <row r="220" spans="1:8">
      <c r="A220" s="1" t="s">
        <v>2</v>
      </c>
      <c r="B220" s="10" t="s">
        <v>16</v>
      </c>
      <c r="C220" s="8" t="s">
        <v>0</v>
      </c>
      <c r="D220" s="7">
        <v>200000</v>
      </c>
      <c r="E220" s="7">
        <f>200000+48473+21500</f>
        <v>269973</v>
      </c>
      <c r="F220" s="7">
        <v>110885.5</v>
      </c>
      <c r="G220" s="7">
        <f>5504.45+9364.64</f>
        <v>14869.09</v>
      </c>
      <c r="H220" s="5">
        <f t="shared" si="7"/>
        <v>41.1</v>
      </c>
    </row>
    <row r="221" spans="1:8" ht="30">
      <c r="A221" s="1" t="s">
        <v>2</v>
      </c>
      <c r="B221" s="10" t="s">
        <v>15</v>
      </c>
      <c r="C221" s="8" t="s">
        <v>0</v>
      </c>
      <c r="D221" s="7">
        <v>80000</v>
      </c>
      <c r="E221" s="7">
        <f>80000+15000</f>
        <v>95000</v>
      </c>
      <c r="F221" s="7">
        <v>94848.86</v>
      </c>
      <c r="G221" s="7">
        <f>6870+6767.51</f>
        <v>13637.51</v>
      </c>
      <c r="H221" s="5">
        <f t="shared" si="7"/>
        <v>99.8</v>
      </c>
    </row>
    <row r="222" spans="1:8">
      <c r="B222" s="13" t="s">
        <v>14</v>
      </c>
      <c r="C222" s="8"/>
      <c r="D222" s="7"/>
      <c r="E222" s="16">
        <f>SUM(E223)</f>
        <v>10000</v>
      </c>
      <c r="F222" s="16">
        <f>SUM(F223)</f>
        <v>10000</v>
      </c>
      <c r="G222" s="16">
        <f>SUM(G223)</f>
        <v>10000</v>
      </c>
      <c r="H222" s="17">
        <f t="shared" si="7"/>
        <v>100</v>
      </c>
    </row>
    <row r="223" spans="1:8" ht="30">
      <c r="A223" s="1" t="s">
        <v>13</v>
      </c>
      <c r="B223" s="10" t="s">
        <v>12</v>
      </c>
      <c r="C223" s="8" t="s">
        <v>11</v>
      </c>
      <c r="D223" s="7"/>
      <c r="E223" s="7">
        <v>10000</v>
      </c>
      <c r="F223" s="7">
        <v>10000</v>
      </c>
      <c r="G223" s="7">
        <v>10000</v>
      </c>
      <c r="H223" s="5">
        <f t="shared" si="7"/>
        <v>100</v>
      </c>
    </row>
    <row r="224" spans="1:8">
      <c r="B224" s="15" t="s">
        <v>10</v>
      </c>
      <c r="C224" s="14"/>
      <c r="D224" s="16">
        <f>SUM(D225,D227,D229)</f>
        <v>178300</v>
      </c>
      <c r="E224" s="16">
        <f>SUM(E225,E227,E229)</f>
        <v>333100</v>
      </c>
      <c r="F224" s="16">
        <f>SUM(F225,F227,F229)</f>
        <v>331893.2</v>
      </c>
      <c r="G224" s="16">
        <f>SUM(G225,G227,G229)</f>
        <v>51148</v>
      </c>
      <c r="H224" s="5">
        <f t="shared" si="7"/>
        <v>99.6</v>
      </c>
    </row>
    <row r="225" spans="1:8">
      <c r="B225" s="15" t="s">
        <v>9</v>
      </c>
      <c r="C225" s="14"/>
      <c r="D225" s="11">
        <f>SUM(D226)</f>
        <v>10300</v>
      </c>
      <c r="E225" s="11">
        <f>SUM(E226)</f>
        <v>15100</v>
      </c>
      <c r="F225" s="11">
        <f>SUM(F226)</f>
        <v>14971.2</v>
      </c>
      <c r="G225" s="11">
        <f>SUM(G226)</f>
        <v>9468</v>
      </c>
      <c r="H225" s="5">
        <f t="shared" si="7"/>
        <v>99.1</v>
      </c>
    </row>
    <row r="226" spans="1:8">
      <c r="A226" s="1" t="s">
        <v>8</v>
      </c>
      <c r="B226" s="10" t="s">
        <v>7</v>
      </c>
      <c r="C226" s="8" t="s">
        <v>0</v>
      </c>
      <c r="D226" s="7">
        <v>10300</v>
      </c>
      <c r="E226" s="7">
        <f>10300+7200-2400</f>
        <v>15100</v>
      </c>
      <c r="F226" s="7">
        <v>14971.2</v>
      </c>
      <c r="G226" s="7">
        <v>9468</v>
      </c>
      <c r="H226" s="5">
        <f t="shared" si="7"/>
        <v>99.1</v>
      </c>
    </row>
    <row r="227" spans="1:8">
      <c r="B227" s="13" t="s">
        <v>6</v>
      </c>
      <c r="C227" s="12"/>
      <c r="D227" s="11">
        <f>SUM(D228)</f>
        <v>18000</v>
      </c>
      <c r="E227" s="11">
        <f>SUM(E228)</f>
        <v>18000</v>
      </c>
      <c r="F227" s="11">
        <f>SUM(F228)</f>
        <v>16922</v>
      </c>
      <c r="G227" s="11">
        <f>SUM(G228)</f>
        <v>1680</v>
      </c>
      <c r="H227" s="5">
        <f t="shared" si="7"/>
        <v>94</v>
      </c>
    </row>
    <row r="228" spans="1:8">
      <c r="A228" s="1" t="s">
        <v>2</v>
      </c>
      <c r="B228" s="10" t="s">
        <v>5</v>
      </c>
      <c r="C228" s="8" t="s">
        <v>0</v>
      </c>
      <c r="D228" s="7">
        <v>18000</v>
      </c>
      <c r="E228" s="7">
        <v>18000</v>
      </c>
      <c r="F228" s="7">
        <v>16922</v>
      </c>
      <c r="G228" s="7">
        <v>1680</v>
      </c>
      <c r="H228" s="5">
        <f t="shared" si="7"/>
        <v>94</v>
      </c>
    </row>
    <row r="229" spans="1:8" ht="30">
      <c r="B229" s="13" t="s">
        <v>4</v>
      </c>
      <c r="C229" s="12"/>
      <c r="D229" s="11">
        <f>SUM(D230:D230)</f>
        <v>150000</v>
      </c>
      <c r="E229" s="11">
        <f>SUM(E230:E231)</f>
        <v>300000</v>
      </c>
      <c r="F229" s="11">
        <f>SUM(F230,F231)</f>
        <v>300000</v>
      </c>
      <c r="G229" s="11">
        <f>SUM(G230,G231)</f>
        <v>40000</v>
      </c>
      <c r="H229" s="5">
        <f t="shared" si="7"/>
        <v>100</v>
      </c>
    </row>
    <row r="230" spans="1:8" ht="30">
      <c r="A230" s="1" t="s">
        <v>2</v>
      </c>
      <c r="B230" s="10" t="s">
        <v>3</v>
      </c>
      <c r="C230" s="8" t="s">
        <v>0</v>
      </c>
      <c r="D230" s="7">
        <f>130000+20000</f>
        <v>150000</v>
      </c>
      <c r="E230" s="7">
        <f>130000+20000</f>
        <v>150000</v>
      </c>
      <c r="F230" s="9">
        <v>150000</v>
      </c>
      <c r="G230" s="7"/>
      <c r="H230" s="5">
        <f t="shared" si="7"/>
        <v>100</v>
      </c>
    </row>
    <row r="231" spans="1:8">
      <c r="A231" s="1" t="s">
        <v>2</v>
      </c>
      <c r="B231" s="1" t="s">
        <v>1</v>
      </c>
      <c r="C231" s="8" t="s">
        <v>0</v>
      </c>
      <c r="D231" s="1"/>
      <c r="E231" s="7">
        <f>130000+20000</f>
        <v>150000</v>
      </c>
      <c r="F231" s="7">
        <v>150000</v>
      </c>
      <c r="G231" s="6">
        <v>40000</v>
      </c>
      <c r="H231" s="5">
        <f t="shared" si="7"/>
        <v>100</v>
      </c>
    </row>
    <row r="232" spans="1:8" ht="31.5" customHeight="1">
      <c r="B232" s="273"/>
      <c r="C232" s="273"/>
      <c r="D232" s="274"/>
    </row>
  </sheetData>
  <mergeCells count="3">
    <mergeCell ref="B1:D1"/>
    <mergeCell ref="B10:D10"/>
    <mergeCell ref="B232:D232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eelarve täitmine</vt:lpstr>
      <vt:lpstr>investeeringud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merke</dc:creator>
  <cp:lastModifiedBy>Indrek_K</cp:lastModifiedBy>
  <cp:lastPrinted>2015-01-21T14:14:10Z</cp:lastPrinted>
  <dcterms:created xsi:type="dcterms:W3CDTF">2015-01-13T08:57:48Z</dcterms:created>
  <dcterms:modified xsi:type="dcterms:W3CDTF">2015-01-21T14:15:03Z</dcterms:modified>
</cp:coreProperties>
</file>