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30" yWindow="360" windowWidth="20610" windowHeight="11625" tabRatio="726"/>
  </bookViews>
  <sheets>
    <sheet name="1.1 Eelarvearuanne 08.06." sheetId="1" r:id="rId1"/>
    <sheet name="1.2 Strateegia vorm KOV" sheetId="2" r:id="rId2"/>
    <sheet name="1.3 Strateegia vorm valdkonniti" sheetId="3" r:id="rId3"/>
    <sheet name="1.4Sõltuvad üksused" sheetId="4" r:id="rId4"/>
    <sheet name="1.5. Arvestusüksus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G261" i="4"/>
  <c r="G260"/>
  <c r="G259"/>
  <c r="G258"/>
  <c r="G255"/>
  <c r="G254"/>
  <c r="G253"/>
  <c r="G251"/>
  <c r="G249"/>
  <c r="G246"/>
  <c r="G204"/>
  <c r="G206" s="1"/>
  <c r="G180"/>
  <c r="G182" s="1"/>
  <c r="G156" l="1"/>
  <c r="G158" s="1"/>
  <c r="G132"/>
  <c r="G134" s="1"/>
  <c r="G110"/>
  <c r="G108"/>
  <c r="G86"/>
  <c r="G84"/>
  <c r="D57" l="1"/>
  <c r="E57" s="1"/>
  <c r="F57" s="1"/>
  <c r="G57" s="1"/>
  <c r="H57" s="1"/>
  <c r="D56"/>
  <c r="E56" s="1"/>
  <c r="F56" s="1"/>
  <c r="G56" s="1"/>
  <c r="H56" s="1"/>
  <c r="D53"/>
  <c r="E53" s="1"/>
  <c r="F53" s="1"/>
  <c r="G53" s="1"/>
  <c r="H53" s="1"/>
  <c r="D52"/>
  <c r="E52" s="1"/>
  <c r="F52" s="1"/>
  <c r="G52" s="1"/>
  <c r="D34"/>
  <c r="E34" s="1"/>
  <c r="F34" s="1"/>
  <c r="G34" s="1"/>
  <c r="D33"/>
  <c r="E33" s="1"/>
  <c r="F33" s="1"/>
  <c r="G33" s="1"/>
  <c r="E32"/>
  <c r="F32" s="1"/>
  <c r="G32" s="1"/>
  <c r="D29"/>
  <c r="E29" s="1"/>
  <c r="F29" s="1"/>
  <c r="G29" s="1"/>
  <c r="B29"/>
  <c r="D28"/>
  <c r="E28" s="1"/>
  <c r="F28" s="1"/>
  <c r="G28" s="1"/>
  <c r="B28"/>
  <c r="E9" i="1"/>
  <c r="E8" s="1"/>
  <c r="E17"/>
  <c r="E21"/>
  <c r="E27"/>
  <c r="E26" s="1"/>
  <c r="E171" s="1"/>
  <c r="E32"/>
  <c r="E37"/>
  <c r="E51"/>
  <c r="E58"/>
  <c r="E66"/>
  <c r="E57" s="1"/>
  <c r="E70"/>
  <c r="E87"/>
  <c r="E93"/>
  <c r="E100"/>
  <c r="E107"/>
  <c r="E131"/>
  <c r="E145"/>
  <c r="E168"/>
  <c r="H52" i="4" l="1"/>
  <c r="G60"/>
  <c r="G62" s="1"/>
  <c r="H28"/>
  <c r="G244"/>
  <c r="G36"/>
  <c r="G38" s="1"/>
  <c r="H33"/>
  <c r="G248"/>
  <c r="H32"/>
  <c r="G247"/>
  <c r="H29"/>
  <c r="G245"/>
  <c r="H34"/>
  <c r="G266"/>
  <c r="E36" i="1"/>
  <c r="E50" s="1"/>
  <c r="E169" s="1"/>
  <c r="G250" i="4" l="1"/>
  <c r="G252" s="1"/>
  <c r="G265" s="1"/>
  <c r="F28" i="2"/>
  <c r="G28" s="1"/>
  <c r="H28" s="1"/>
  <c r="E28"/>
  <c r="E27"/>
  <c r="G16" i="5" l="1"/>
  <c r="G6"/>
  <c r="D70" i="3"/>
  <c r="E70" s="1"/>
  <c r="F70" s="1"/>
  <c r="G70" s="1"/>
  <c r="H70" s="1"/>
  <c r="D69"/>
  <c r="E69" s="1"/>
  <c r="F69" s="1"/>
  <c r="G69" s="1"/>
  <c r="D63"/>
  <c r="E63" s="1"/>
  <c r="F63" s="1"/>
  <c r="G63" s="1"/>
  <c r="H63" s="1"/>
  <c r="D62"/>
  <c r="E62" s="1"/>
  <c r="F62" s="1"/>
  <c r="G62" s="1"/>
  <c r="D56"/>
  <c r="E56" s="1"/>
  <c r="F56" s="1"/>
  <c r="G56" s="1"/>
  <c r="H56" s="1"/>
  <c r="D55"/>
  <c r="E55" s="1"/>
  <c r="F55" s="1"/>
  <c r="G55" s="1"/>
  <c r="H55" s="1"/>
  <c r="D49"/>
  <c r="E49" s="1"/>
  <c r="F49" s="1"/>
  <c r="G49" s="1"/>
  <c r="H49" s="1"/>
  <c r="D48"/>
  <c r="E48" s="1"/>
  <c r="F48" s="1"/>
  <c r="G48" s="1"/>
  <c r="D42"/>
  <c r="E42" s="1"/>
  <c r="F42" s="1"/>
  <c r="G42" s="1"/>
  <c r="D41"/>
  <c r="E41" s="1"/>
  <c r="F41" s="1"/>
  <c r="G41" s="1"/>
  <c r="E35"/>
  <c r="F35" s="1"/>
  <c r="G35" s="1"/>
  <c r="H35" s="1"/>
  <c r="D35"/>
  <c r="E34"/>
  <c r="F34" s="1"/>
  <c r="G34" s="1"/>
  <c r="D34"/>
  <c r="D28"/>
  <c r="E28" s="1"/>
  <c r="F28" s="1"/>
  <c r="G28" s="1"/>
  <c r="D27"/>
  <c r="E27" s="1"/>
  <c r="F27" s="1"/>
  <c r="G27" s="1"/>
  <c r="E21"/>
  <c r="F21" s="1"/>
  <c r="G21" s="1"/>
  <c r="D21"/>
  <c r="D20"/>
  <c r="E20" s="1"/>
  <c r="F20" s="1"/>
  <c r="G20" s="1"/>
  <c r="D7"/>
  <c r="E7" s="1"/>
  <c r="F7" s="1"/>
  <c r="G7" s="1"/>
  <c r="H7" s="1"/>
  <c r="E6"/>
  <c r="F6" s="1"/>
  <c r="G6" s="1"/>
  <c r="H6" s="1"/>
  <c r="D6"/>
  <c r="G97"/>
  <c r="G103"/>
  <c r="G104"/>
  <c r="G110"/>
  <c r="G118"/>
  <c r="G92"/>
  <c r="G91"/>
  <c r="G89"/>
  <c r="G80"/>
  <c r="H80"/>
  <c r="G79"/>
  <c r="H79"/>
  <c r="G71"/>
  <c r="H71"/>
  <c r="G64"/>
  <c r="H64"/>
  <c r="G57"/>
  <c r="H57"/>
  <c r="G50"/>
  <c r="H50"/>
  <c r="G43"/>
  <c r="G116" s="1"/>
  <c r="H43"/>
  <c r="G36"/>
  <c r="G109" s="1"/>
  <c r="G108" s="1"/>
  <c r="H36"/>
  <c r="G29"/>
  <c r="H29"/>
  <c r="G22"/>
  <c r="G95" s="1"/>
  <c r="H22"/>
  <c r="G15"/>
  <c r="H15"/>
  <c r="G12"/>
  <c r="H12"/>
  <c r="G8"/>
  <c r="H8"/>
  <c r="C105" i="2"/>
  <c r="D105"/>
  <c r="E105"/>
  <c r="F105"/>
  <c r="G105"/>
  <c r="H105"/>
  <c r="D104"/>
  <c r="D27" s="1"/>
  <c r="E104"/>
  <c r="F104"/>
  <c r="F27" s="1"/>
  <c r="G104"/>
  <c r="G27" s="1"/>
  <c r="H104"/>
  <c r="H27" s="1"/>
  <c r="C104"/>
  <c r="B99"/>
  <c r="B98"/>
  <c r="B97" s="1"/>
  <c r="H97"/>
  <c r="G97"/>
  <c r="F97"/>
  <c r="E97"/>
  <c r="D97"/>
  <c r="C97"/>
  <c r="B96"/>
  <c r="B95"/>
  <c r="H94"/>
  <c r="G94"/>
  <c r="F94"/>
  <c r="E94"/>
  <c r="D94"/>
  <c r="C94"/>
  <c r="B92"/>
  <c r="B91" s="1"/>
  <c r="H91"/>
  <c r="G91"/>
  <c r="F91"/>
  <c r="E91"/>
  <c r="D91"/>
  <c r="C91"/>
  <c r="B90"/>
  <c r="B89"/>
  <c r="H88"/>
  <c r="G88"/>
  <c r="F88"/>
  <c r="E88"/>
  <c r="D88"/>
  <c r="C88"/>
  <c r="B87"/>
  <c r="B86"/>
  <c r="H85"/>
  <c r="G85"/>
  <c r="F85"/>
  <c r="E85"/>
  <c r="D85"/>
  <c r="C85"/>
  <c r="B84"/>
  <c r="B83"/>
  <c r="H82"/>
  <c r="G82"/>
  <c r="F82"/>
  <c r="E82"/>
  <c r="D82"/>
  <c r="C82"/>
  <c r="H79"/>
  <c r="G79"/>
  <c r="F79"/>
  <c r="E79"/>
  <c r="D79"/>
  <c r="C79"/>
  <c r="B79"/>
  <c r="B78"/>
  <c r="D76"/>
  <c r="C76"/>
  <c r="B77"/>
  <c r="H76"/>
  <c r="G76"/>
  <c r="F76"/>
  <c r="E76"/>
  <c r="E73"/>
  <c r="D73"/>
  <c r="H73"/>
  <c r="G73"/>
  <c r="F73"/>
  <c r="C73"/>
  <c r="B73"/>
  <c r="H70"/>
  <c r="G70"/>
  <c r="F70"/>
  <c r="E70"/>
  <c r="D70"/>
  <c r="C70"/>
  <c r="B70"/>
  <c r="D67"/>
  <c r="E67"/>
  <c r="H67"/>
  <c r="G67"/>
  <c r="F67"/>
  <c r="C67"/>
  <c r="B67"/>
  <c r="C64"/>
  <c r="B66"/>
  <c r="B65"/>
  <c r="H64"/>
  <c r="G64"/>
  <c r="F64"/>
  <c r="E64"/>
  <c r="D64"/>
  <c r="E61"/>
  <c r="H61"/>
  <c r="G61"/>
  <c r="F61"/>
  <c r="D61"/>
  <c r="C61"/>
  <c r="B61"/>
  <c r="B60"/>
  <c r="E58"/>
  <c r="D58"/>
  <c r="B59"/>
  <c r="H58"/>
  <c r="G58"/>
  <c r="F58"/>
  <c r="C58"/>
  <c r="H26"/>
  <c r="H100"/>
  <c r="H103" s="1"/>
  <c r="H25" s="1"/>
  <c r="H36"/>
  <c r="H145" i="1"/>
  <c r="H131"/>
  <c r="H107"/>
  <c r="H100"/>
  <c r="H93"/>
  <c r="H87"/>
  <c r="H70"/>
  <c r="H66"/>
  <c r="H58"/>
  <c r="H57" s="1"/>
  <c r="H51"/>
  <c r="H48"/>
  <c r="H38"/>
  <c r="H32"/>
  <c r="H27"/>
  <c r="H26" s="1"/>
  <c r="H25"/>
  <c r="H24"/>
  <c r="H23"/>
  <c r="H20"/>
  <c r="H19"/>
  <c r="H18"/>
  <c r="H15"/>
  <c r="H14"/>
  <c r="H13"/>
  <c r="H11"/>
  <c r="H10"/>
  <c r="B88" i="2" l="1"/>
  <c r="H17" i="1"/>
  <c r="H37"/>
  <c r="H9"/>
  <c r="B58" i="2"/>
  <c r="B76"/>
  <c r="B94"/>
  <c r="B82"/>
  <c r="B85"/>
  <c r="G12" i="4"/>
  <c r="G14" s="1"/>
  <c r="G102" i="3"/>
  <c r="H78"/>
  <c r="G78"/>
  <c r="B64" i="2"/>
  <c r="H54" i="3"/>
  <c r="H69"/>
  <c r="H68" s="1"/>
  <c r="H67" s="1"/>
  <c r="G68"/>
  <c r="G67" s="1"/>
  <c r="H62"/>
  <c r="H61" s="1"/>
  <c r="H60" s="1"/>
  <c r="G61"/>
  <c r="G60" s="1"/>
  <c r="G54"/>
  <c r="G53" s="1"/>
  <c r="H48"/>
  <c r="H47" s="1"/>
  <c r="H46" s="1"/>
  <c r="G47"/>
  <c r="G46" s="1"/>
  <c r="H42"/>
  <c r="G115"/>
  <c r="G114" s="1"/>
  <c r="H41"/>
  <c r="H40" s="1"/>
  <c r="G40"/>
  <c r="G113" s="1"/>
  <c r="H34"/>
  <c r="H33" s="1"/>
  <c r="G33"/>
  <c r="G106" s="1"/>
  <c r="G105" s="1"/>
  <c r="G107"/>
  <c r="H28"/>
  <c r="G101"/>
  <c r="H27"/>
  <c r="H26" s="1"/>
  <c r="H25" s="1"/>
  <c r="G100"/>
  <c r="G26"/>
  <c r="G25" s="1"/>
  <c r="G98" s="1"/>
  <c r="G96" s="1"/>
  <c r="H21"/>
  <c r="G94"/>
  <c r="G93" s="1"/>
  <c r="H20"/>
  <c r="G19"/>
  <c r="G18" s="1"/>
  <c r="G11"/>
  <c r="G90"/>
  <c r="H53"/>
  <c r="H39"/>
  <c r="H32"/>
  <c r="H11"/>
  <c r="H21" i="1"/>
  <c r="H8" l="1"/>
  <c r="H36" s="1"/>
  <c r="H50" s="1"/>
  <c r="H54" s="1"/>
  <c r="G39" i="3"/>
  <c r="G112" s="1"/>
  <c r="G111" s="1"/>
  <c r="G32"/>
  <c r="G99"/>
  <c r="G119"/>
  <c r="H19"/>
  <c r="H18" s="1"/>
  <c r="G5" l="1"/>
  <c r="G76"/>
  <c r="G75" l="1"/>
  <c r="G4"/>
  <c r="G74" s="1"/>
  <c r="H76"/>
  <c r="H77"/>
  <c r="G77"/>
  <c r="G88"/>
  <c r="G87" s="1"/>
  <c r="G117" s="1"/>
  <c r="H5" l="1"/>
  <c r="H171" i="1"/>
  <c r="D171"/>
  <c r="D170"/>
  <c r="B6" i="2"/>
  <c r="C6"/>
  <c r="B7"/>
  <c r="C7"/>
  <c r="D7" s="1"/>
  <c r="E7" s="1"/>
  <c r="F7" s="1"/>
  <c r="G7" s="1"/>
  <c r="H7" s="1"/>
  <c r="B8"/>
  <c r="C8"/>
  <c r="D8" s="1"/>
  <c r="E8" s="1"/>
  <c r="F8" s="1"/>
  <c r="G8" s="1"/>
  <c r="H8" s="1"/>
  <c r="B9"/>
  <c r="C9"/>
  <c r="B11"/>
  <c r="C11"/>
  <c r="D11" s="1"/>
  <c r="E11" s="1"/>
  <c r="F11" s="1"/>
  <c r="G11" s="1"/>
  <c r="H11" s="1"/>
  <c r="B12"/>
  <c r="C12"/>
  <c r="D12" s="1"/>
  <c r="E12" s="1"/>
  <c r="F12" s="1"/>
  <c r="G12" s="1"/>
  <c r="H12" s="1"/>
  <c r="B13"/>
  <c r="C13"/>
  <c r="D13" s="1"/>
  <c r="E13" s="1"/>
  <c r="F13" s="1"/>
  <c r="G13" s="1"/>
  <c r="H13" s="1"/>
  <c r="B14"/>
  <c r="C14"/>
  <c r="D14" s="1"/>
  <c r="E14" s="1"/>
  <c r="F14" s="1"/>
  <c r="G14" s="1"/>
  <c r="H14" s="1"/>
  <c r="B16"/>
  <c r="C16"/>
  <c r="D16" s="1"/>
  <c r="E16" s="1"/>
  <c r="F16" s="1"/>
  <c r="G16" s="1"/>
  <c r="H16" s="1"/>
  <c r="B18"/>
  <c r="C18"/>
  <c r="D18" s="1"/>
  <c r="B19"/>
  <c r="C19"/>
  <c r="D19" s="1"/>
  <c r="E19" s="1"/>
  <c r="F19" s="1"/>
  <c r="G19" s="1"/>
  <c r="H19" s="1"/>
  <c r="B21"/>
  <c r="C21"/>
  <c r="D21" s="1"/>
  <c r="E21" s="1"/>
  <c r="F21" s="1"/>
  <c r="G21" s="1"/>
  <c r="H21" s="1"/>
  <c r="B24"/>
  <c r="C24"/>
  <c r="D24" s="1"/>
  <c r="E24" s="1"/>
  <c r="F24" s="1"/>
  <c r="G24" s="1"/>
  <c r="H24" s="1"/>
  <c r="B25"/>
  <c r="B27"/>
  <c r="C27"/>
  <c r="B28"/>
  <c r="C28"/>
  <c r="B29"/>
  <c r="C29"/>
  <c r="B30"/>
  <c r="C30"/>
  <c r="B31"/>
  <c r="C31"/>
  <c r="B32"/>
  <c r="C32"/>
  <c r="B33"/>
  <c r="C33"/>
  <c r="D33" s="1"/>
  <c r="E33" s="1"/>
  <c r="F33" s="1"/>
  <c r="G33" s="1"/>
  <c r="H33" s="1"/>
  <c r="B34"/>
  <c r="C34"/>
  <c r="D36"/>
  <c r="E36"/>
  <c r="F36"/>
  <c r="G36"/>
  <c r="B37"/>
  <c r="C37"/>
  <c r="B38"/>
  <c r="C38"/>
  <c r="B39"/>
  <c r="C39"/>
  <c r="B40"/>
  <c r="C40"/>
  <c r="B42"/>
  <c r="B43"/>
  <c r="C43"/>
  <c r="B44"/>
  <c r="C44"/>
  <c r="C100"/>
  <c r="C103" s="1"/>
  <c r="D100"/>
  <c r="D103" s="1"/>
  <c r="E100"/>
  <c r="E103" s="1"/>
  <c r="F100"/>
  <c r="F103" s="1"/>
  <c r="G100"/>
  <c r="G103" s="1"/>
  <c r="C26"/>
  <c r="D26"/>
  <c r="E26"/>
  <c r="F26"/>
  <c r="G26"/>
  <c r="B12" i="4"/>
  <c r="B14" s="1"/>
  <c r="C12"/>
  <c r="C14" s="1"/>
  <c r="D12"/>
  <c r="E12"/>
  <c r="E14" s="1"/>
  <c r="F12"/>
  <c r="F14" s="1"/>
  <c r="H12"/>
  <c r="H14" s="1"/>
  <c r="D14"/>
  <c r="C19"/>
  <c r="C24" s="1"/>
  <c r="C25" s="1"/>
  <c r="B24"/>
  <c r="B25" s="1"/>
  <c r="B36"/>
  <c r="C36"/>
  <c r="D36"/>
  <c r="D38" s="1"/>
  <c r="E36"/>
  <c r="E38" s="1"/>
  <c r="F36"/>
  <c r="H36"/>
  <c r="B38"/>
  <c r="C38"/>
  <c r="F38"/>
  <c r="H38"/>
  <c r="C43"/>
  <c r="D43" s="1"/>
  <c r="B48"/>
  <c r="B49" s="1"/>
  <c r="B60"/>
  <c r="B62" s="1"/>
  <c r="C60"/>
  <c r="C62" s="1"/>
  <c r="D60"/>
  <c r="D62" s="1"/>
  <c r="E60"/>
  <c r="E62" s="1"/>
  <c r="F60"/>
  <c r="F62" s="1"/>
  <c r="H60"/>
  <c r="H62" s="1"/>
  <c r="C67"/>
  <c r="D67" s="1"/>
  <c r="D72" s="1"/>
  <c r="D73" s="1"/>
  <c r="B72"/>
  <c r="B73" s="1"/>
  <c r="B84"/>
  <c r="B86" s="1"/>
  <c r="C84"/>
  <c r="C86" s="1"/>
  <c r="D84"/>
  <c r="E84"/>
  <c r="F84"/>
  <c r="F86" s="1"/>
  <c r="H84"/>
  <c r="H86" s="1"/>
  <c r="D86"/>
  <c r="E86"/>
  <c r="C91"/>
  <c r="C96" s="1"/>
  <c r="C97" s="1"/>
  <c r="B96"/>
  <c r="B97" s="1"/>
  <c r="B108"/>
  <c r="B110" s="1"/>
  <c r="C108"/>
  <c r="C110" s="1"/>
  <c r="D108"/>
  <c r="E108"/>
  <c r="E110" s="1"/>
  <c r="F108"/>
  <c r="F110" s="1"/>
  <c r="H108"/>
  <c r="H110" s="1"/>
  <c r="D110"/>
  <c r="C115"/>
  <c r="C120" s="1"/>
  <c r="C121" s="1"/>
  <c r="B120"/>
  <c r="B121" s="1"/>
  <c r="B132"/>
  <c r="B134" s="1"/>
  <c r="C132"/>
  <c r="D132"/>
  <c r="D134" s="1"/>
  <c r="E132"/>
  <c r="E134" s="1"/>
  <c r="F132"/>
  <c r="F134" s="1"/>
  <c r="H132"/>
  <c r="H134" s="1"/>
  <c r="C134"/>
  <c r="C139"/>
  <c r="D139" s="1"/>
  <c r="B144"/>
  <c r="B145" s="1"/>
  <c r="B156"/>
  <c r="B158" s="1"/>
  <c r="C156"/>
  <c r="C158" s="1"/>
  <c r="D156"/>
  <c r="D158" s="1"/>
  <c r="E156"/>
  <c r="E158" s="1"/>
  <c r="F156"/>
  <c r="F158" s="1"/>
  <c r="H156"/>
  <c r="H158" s="1"/>
  <c r="C163"/>
  <c r="D163" s="1"/>
  <c r="B168"/>
  <c r="B169" s="1"/>
  <c r="B180"/>
  <c r="B182" s="1"/>
  <c r="C180"/>
  <c r="C182" s="1"/>
  <c r="D180"/>
  <c r="E180"/>
  <c r="F180"/>
  <c r="F182" s="1"/>
  <c r="H180"/>
  <c r="H182" s="1"/>
  <c r="D182"/>
  <c r="E182"/>
  <c r="C187"/>
  <c r="C192" s="1"/>
  <c r="C193" s="1"/>
  <c r="B192"/>
  <c r="B193" s="1"/>
  <c r="B204"/>
  <c r="B206" s="1"/>
  <c r="C204"/>
  <c r="C206" s="1"/>
  <c r="D204"/>
  <c r="D206" s="1"/>
  <c r="E204"/>
  <c r="E206" s="1"/>
  <c r="F204"/>
  <c r="F206" s="1"/>
  <c r="H204"/>
  <c r="H206" s="1"/>
  <c r="C211"/>
  <c r="C216" s="1"/>
  <c r="C217" s="1"/>
  <c r="B216"/>
  <c r="B217" s="1"/>
  <c r="B228"/>
  <c r="C228"/>
  <c r="D228"/>
  <c r="D230" s="1"/>
  <c r="E228"/>
  <c r="E230" s="1"/>
  <c r="F228"/>
  <c r="H228"/>
  <c r="B230"/>
  <c r="C230"/>
  <c r="F230"/>
  <c r="H230"/>
  <c r="C235"/>
  <c r="D235" s="1"/>
  <c r="B240"/>
  <c r="B241" s="1"/>
  <c r="B244"/>
  <c r="C244"/>
  <c r="D244"/>
  <c r="E244"/>
  <c r="F244"/>
  <c r="H244"/>
  <c r="B245"/>
  <c r="C245"/>
  <c r="D245"/>
  <c r="E245"/>
  <c r="F245"/>
  <c r="H245"/>
  <c r="B246"/>
  <c r="C246"/>
  <c r="D246"/>
  <c r="E246"/>
  <c r="F246"/>
  <c r="H246"/>
  <c r="B247"/>
  <c r="C247"/>
  <c r="D247"/>
  <c r="E247"/>
  <c r="F247"/>
  <c r="H247"/>
  <c r="B248"/>
  <c r="C248"/>
  <c r="D248"/>
  <c r="E248"/>
  <c r="F248"/>
  <c r="H248"/>
  <c r="B249"/>
  <c r="B6" i="5" s="1"/>
  <c r="C249" i="4"/>
  <c r="D249"/>
  <c r="D6" i="5" s="1"/>
  <c r="E249" i="4"/>
  <c r="F249"/>
  <c r="F6" i="5" s="1"/>
  <c r="H249" i="4"/>
  <c r="B251"/>
  <c r="C251"/>
  <c r="D251"/>
  <c r="E251"/>
  <c r="F251"/>
  <c r="H251"/>
  <c r="B253"/>
  <c r="C253"/>
  <c r="D253"/>
  <c r="D10" i="5" s="1"/>
  <c r="E253" i="4"/>
  <c r="F253"/>
  <c r="H253"/>
  <c r="B254"/>
  <c r="C254"/>
  <c r="D254"/>
  <c r="E254"/>
  <c r="F254"/>
  <c r="H254"/>
  <c r="B255"/>
  <c r="C255"/>
  <c r="D255"/>
  <c r="E255"/>
  <c r="F255"/>
  <c r="H255"/>
  <c r="B257"/>
  <c r="B258"/>
  <c r="C258"/>
  <c r="D258"/>
  <c r="E258"/>
  <c r="F258"/>
  <c r="H258"/>
  <c r="B259"/>
  <c r="C259"/>
  <c r="D259"/>
  <c r="D16" i="5" s="1"/>
  <c r="E259" i="4"/>
  <c r="E16" i="5" s="1"/>
  <c r="F259" i="4"/>
  <c r="F16" i="5" s="1"/>
  <c r="H259" i="4"/>
  <c r="H16" i="5" s="1"/>
  <c r="B260" i="4"/>
  <c r="C260"/>
  <c r="D260"/>
  <c r="E260"/>
  <c r="F260"/>
  <c r="H260"/>
  <c r="B261"/>
  <c r="C261"/>
  <c r="D261"/>
  <c r="E261"/>
  <c r="F261"/>
  <c r="H261"/>
  <c r="B266"/>
  <c r="C266"/>
  <c r="D266"/>
  <c r="E266"/>
  <c r="F266"/>
  <c r="H266"/>
  <c r="B5" i="3"/>
  <c r="C5"/>
  <c r="D5"/>
  <c r="E5"/>
  <c r="F5"/>
  <c r="B8"/>
  <c r="B4" s="1"/>
  <c r="C8"/>
  <c r="D8"/>
  <c r="E8"/>
  <c r="F8"/>
  <c r="B12"/>
  <c r="C12"/>
  <c r="D12"/>
  <c r="E12"/>
  <c r="F12"/>
  <c r="B15"/>
  <c r="C15"/>
  <c r="C11" s="1"/>
  <c r="D15"/>
  <c r="E15"/>
  <c r="F15"/>
  <c r="B19"/>
  <c r="C19"/>
  <c r="D19"/>
  <c r="E19"/>
  <c r="F19"/>
  <c r="B22"/>
  <c r="C22"/>
  <c r="D22"/>
  <c r="E22"/>
  <c r="F22"/>
  <c r="B26"/>
  <c r="C26"/>
  <c r="D26"/>
  <c r="E26"/>
  <c r="F26"/>
  <c r="B29"/>
  <c r="C29"/>
  <c r="C25" s="1"/>
  <c r="D29"/>
  <c r="E29"/>
  <c r="F29"/>
  <c r="B33"/>
  <c r="C33"/>
  <c r="D33"/>
  <c r="E33"/>
  <c r="F33"/>
  <c r="B36"/>
  <c r="B32" s="1"/>
  <c r="C36"/>
  <c r="D36"/>
  <c r="E36"/>
  <c r="F36"/>
  <c r="B40"/>
  <c r="C40"/>
  <c r="D40"/>
  <c r="E40"/>
  <c r="F40"/>
  <c r="F39" s="1"/>
  <c r="B43"/>
  <c r="C43"/>
  <c r="C39" s="1"/>
  <c r="D43"/>
  <c r="E43"/>
  <c r="F43"/>
  <c r="B47"/>
  <c r="C47"/>
  <c r="D47"/>
  <c r="E47"/>
  <c r="F47"/>
  <c r="B50"/>
  <c r="B46" s="1"/>
  <c r="C50"/>
  <c r="D50"/>
  <c r="E50"/>
  <c r="F50"/>
  <c r="B54"/>
  <c r="C54"/>
  <c r="D54"/>
  <c r="E54"/>
  <c r="F54"/>
  <c r="B57"/>
  <c r="C57"/>
  <c r="C53" s="1"/>
  <c r="D57"/>
  <c r="E57"/>
  <c r="F57"/>
  <c r="B61"/>
  <c r="C61"/>
  <c r="D61"/>
  <c r="E61"/>
  <c r="F61"/>
  <c r="B64"/>
  <c r="B60" s="1"/>
  <c r="C64"/>
  <c r="D64"/>
  <c r="E64"/>
  <c r="F64"/>
  <c r="B68"/>
  <c r="C68"/>
  <c r="D68"/>
  <c r="E68"/>
  <c r="F68"/>
  <c r="B71"/>
  <c r="C71"/>
  <c r="D71"/>
  <c r="E71"/>
  <c r="F71"/>
  <c r="B76"/>
  <c r="C76"/>
  <c r="D76"/>
  <c r="E76"/>
  <c r="F76"/>
  <c r="B77"/>
  <c r="C77"/>
  <c r="D77"/>
  <c r="E77"/>
  <c r="F77"/>
  <c r="E78"/>
  <c r="B79"/>
  <c r="C79"/>
  <c r="D79"/>
  <c r="E79"/>
  <c r="F79"/>
  <c r="B80"/>
  <c r="C80"/>
  <c r="D80"/>
  <c r="E80"/>
  <c r="F80"/>
  <c r="B88"/>
  <c r="B87" s="1"/>
  <c r="C88"/>
  <c r="D88"/>
  <c r="E88"/>
  <c r="F88"/>
  <c r="F87" s="1"/>
  <c r="H88"/>
  <c r="B89"/>
  <c r="C89"/>
  <c r="D89"/>
  <c r="E89"/>
  <c r="F89"/>
  <c r="H89"/>
  <c r="B91"/>
  <c r="C91"/>
  <c r="D91"/>
  <c r="E91"/>
  <c r="F91"/>
  <c r="H91"/>
  <c r="H90" s="1"/>
  <c r="B92"/>
  <c r="C92"/>
  <c r="D92"/>
  <c r="E92"/>
  <c r="E90" s="1"/>
  <c r="F92"/>
  <c r="H92"/>
  <c r="B94"/>
  <c r="C94"/>
  <c r="D94"/>
  <c r="E94"/>
  <c r="F94"/>
  <c r="H94"/>
  <c r="B95"/>
  <c r="C95"/>
  <c r="D95"/>
  <c r="E95"/>
  <c r="F95"/>
  <c r="H95"/>
  <c r="B97"/>
  <c r="C97"/>
  <c r="D97"/>
  <c r="E97"/>
  <c r="F97"/>
  <c r="H97"/>
  <c r="B98"/>
  <c r="C98"/>
  <c r="D98"/>
  <c r="E98"/>
  <c r="F98"/>
  <c r="H98"/>
  <c r="B100"/>
  <c r="C100"/>
  <c r="D100"/>
  <c r="E100"/>
  <c r="F100"/>
  <c r="F99" s="1"/>
  <c r="H100"/>
  <c r="B101"/>
  <c r="C101"/>
  <c r="D101"/>
  <c r="E101"/>
  <c r="F101"/>
  <c r="H101"/>
  <c r="B103"/>
  <c r="C103"/>
  <c r="C102" s="1"/>
  <c r="D103"/>
  <c r="E103"/>
  <c r="F103"/>
  <c r="H103"/>
  <c r="H102" s="1"/>
  <c r="B104"/>
  <c r="C104"/>
  <c r="D104"/>
  <c r="E104"/>
  <c r="E102" s="1"/>
  <c r="F104"/>
  <c r="H104"/>
  <c r="B106"/>
  <c r="C106"/>
  <c r="D106"/>
  <c r="E106"/>
  <c r="F106"/>
  <c r="H106"/>
  <c r="B107"/>
  <c r="C107"/>
  <c r="D107"/>
  <c r="E107"/>
  <c r="F107"/>
  <c r="H107"/>
  <c r="B109"/>
  <c r="C109"/>
  <c r="D109"/>
  <c r="E109"/>
  <c r="F109"/>
  <c r="H109"/>
  <c r="B110"/>
  <c r="C110"/>
  <c r="D110"/>
  <c r="E110"/>
  <c r="E108" s="1"/>
  <c r="F110"/>
  <c r="H110"/>
  <c r="B112"/>
  <c r="C112"/>
  <c r="D112"/>
  <c r="E112"/>
  <c r="F112"/>
  <c r="H112"/>
  <c r="B113"/>
  <c r="C113"/>
  <c r="D113"/>
  <c r="E113"/>
  <c r="F113"/>
  <c r="H113"/>
  <c r="B115"/>
  <c r="C115"/>
  <c r="C114" s="1"/>
  <c r="D115"/>
  <c r="E115"/>
  <c r="F115"/>
  <c r="F118" s="1"/>
  <c r="H115"/>
  <c r="H114" s="1"/>
  <c r="B116"/>
  <c r="B119" s="1"/>
  <c r="C116"/>
  <c r="D116"/>
  <c r="E116"/>
  <c r="E114" s="1"/>
  <c r="F116"/>
  <c r="F119" s="1"/>
  <c r="H116"/>
  <c r="B118"/>
  <c r="E118"/>
  <c r="D119"/>
  <c r="H119"/>
  <c r="F5" i="2" l="1"/>
  <c r="F10"/>
  <c r="C240" i="4"/>
  <c r="C241" s="1"/>
  <c r="E18" i="2"/>
  <c r="D17"/>
  <c r="D15" s="1"/>
  <c r="D43"/>
  <c r="D15" i="5" s="1"/>
  <c r="G10" i="2"/>
  <c r="H5"/>
  <c r="G5"/>
  <c r="D10"/>
  <c r="D4" s="1"/>
  <c r="D4" i="5" s="1"/>
  <c r="D5" i="2"/>
  <c r="H23"/>
  <c r="H10"/>
  <c r="E10"/>
  <c r="E4" s="1"/>
  <c r="E5"/>
  <c r="E96" i="3"/>
  <c r="D187" i="4"/>
  <c r="D192" s="1"/>
  <c r="D193" s="1"/>
  <c r="E6" i="5"/>
  <c r="C168" i="4"/>
  <c r="C169" s="1"/>
  <c r="C72"/>
  <c r="C73" s="1"/>
  <c r="H6" i="5"/>
  <c r="C6"/>
  <c r="D168" i="4"/>
  <c r="D169" s="1"/>
  <c r="E163"/>
  <c r="E168" s="1"/>
  <c r="E169" s="1"/>
  <c r="C48"/>
  <c r="C49" s="1"/>
  <c r="C16" i="5"/>
  <c r="C144" i="4"/>
  <c r="C145" s="1"/>
  <c r="E10" i="5"/>
  <c r="F10"/>
  <c r="C11"/>
  <c r="C15"/>
  <c r="B15"/>
  <c r="B262" i="4"/>
  <c r="B263" s="1"/>
  <c r="H250"/>
  <c r="H252" s="1"/>
  <c r="H265" s="1"/>
  <c r="D250"/>
  <c r="D252" s="1"/>
  <c r="D265" s="1"/>
  <c r="C257"/>
  <c r="E43" i="2"/>
  <c r="F43" s="1"/>
  <c r="G43" s="1"/>
  <c r="H15" i="5" s="1"/>
  <c r="H10"/>
  <c r="G10"/>
  <c r="C250" i="4"/>
  <c r="C252" s="1"/>
  <c r="C265" s="1"/>
  <c r="F250"/>
  <c r="F252" s="1"/>
  <c r="F265" s="1"/>
  <c r="E250"/>
  <c r="E252" s="1"/>
  <c r="E265" s="1"/>
  <c r="B250"/>
  <c r="B252" s="1"/>
  <c r="B265" s="1"/>
  <c r="D75" i="3"/>
  <c r="D78"/>
  <c r="D111"/>
  <c r="E60"/>
  <c r="F60"/>
  <c r="D105"/>
  <c r="E46"/>
  <c r="F46"/>
  <c r="D39"/>
  <c r="D99"/>
  <c r="E32"/>
  <c r="F32"/>
  <c r="D25"/>
  <c r="D93"/>
  <c r="E18"/>
  <c r="D87"/>
  <c r="F4"/>
  <c r="F67"/>
  <c r="B67"/>
  <c r="E67"/>
  <c r="C75"/>
  <c r="F111"/>
  <c r="B111"/>
  <c r="D60"/>
  <c r="H75"/>
  <c r="H4"/>
  <c r="H74" s="1"/>
  <c r="E4"/>
  <c r="H108"/>
  <c r="C108"/>
  <c r="F53"/>
  <c r="B53"/>
  <c r="D53"/>
  <c r="F105"/>
  <c r="B105"/>
  <c r="D46"/>
  <c r="B39"/>
  <c r="C119"/>
  <c r="F78"/>
  <c r="B99"/>
  <c r="D32"/>
  <c r="H96"/>
  <c r="C96"/>
  <c r="F25"/>
  <c r="B25"/>
  <c r="F93"/>
  <c r="B93"/>
  <c r="C90"/>
  <c r="D11"/>
  <c r="D114"/>
  <c r="F108"/>
  <c r="B108"/>
  <c r="D108"/>
  <c r="F102"/>
  <c r="B102"/>
  <c r="D102"/>
  <c r="F96"/>
  <c r="B96"/>
  <c r="D96"/>
  <c r="H111"/>
  <c r="C111"/>
  <c r="E111"/>
  <c r="H105"/>
  <c r="C105"/>
  <c r="E105"/>
  <c r="H99"/>
  <c r="C99"/>
  <c r="E99"/>
  <c r="H93"/>
  <c r="C93"/>
  <c r="E93"/>
  <c r="C87"/>
  <c r="E87"/>
  <c r="B78"/>
  <c r="B82" s="1"/>
  <c r="C78"/>
  <c r="C60"/>
  <c r="E53"/>
  <c r="C46"/>
  <c r="E39"/>
  <c r="C32"/>
  <c r="E25"/>
  <c r="E11"/>
  <c r="B18"/>
  <c r="B74" s="1"/>
  <c r="C18"/>
  <c r="D18"/>
  <c r="F18"/>
  <c r="D90"/>
  <c r="F11"/>
  <c r="B11"/>
  <c r="F90"/>
  <c r="B90"/>
  <c r="C4"/>
  <c r="H87"/>
  <c r="D4"/>
  <c r="D25" i="2"/>
  <c r="D23" s="1"/>
  <c r="D8" i="5" s="1"/>
  <c r="E25" i="2"/>
  <c r="E82" i="3" s="1"/>
  <c r="F25" i="2"/>
  <c r="C42"/>
  <c r="C45" s="1"/>
  <c r="B16" i="5"/>
  <c r="B14"/>
  <c r="C14" s="1"/>
  <c r="B11"/>
  <c r="C36" i="2"/>
  <c r="C10" i="5" s="1"/>
  <c r="B45" i="2"/>
  <c r="B36"/>
  <c r="B10" i="5" s="1"/>
  <c r="B10" i="2"/>
  <c r="B5"/>
  <c r="C5"/>
  <c r="B23"/>
  <c r="B8" i="5" s="1"/>
  <c r="B17" i="2"/>
  <c r="B15" s="1"/>
  <c r="C17"/>
  <c r="C15" s="1"/>
  <c r="C10"/>
  <c r="D169" i="1"/>
  <c r="D240" i="4"/>
  <c r="D241" s="1"/>
  <c r="E235"/>
  <c r="D48"/>
  <c r="D49" s="1"/>
  <c r="E43"/>
  <c r="D5" i="5"/>
  <c r="H169" i="1"/>
  <c r="H168"/>
  <c r="D144" i="4"/>
  <c r="D145" s="1"/>
  <c r="E139"/>
  <c r="C67" i="3"/>
  <c r="C74" s="1"/>
  <c r="D91" i="4"/>
  <c r="E67"/>
  <c r="F114" i="3"/>
  <c r="E119"/>
  <c r="H118"/>
  <c r="C118"/>
  <c r="E75"/>
  <c r="D211" i="4"/>
  <c r="E187"/>
  <c r="F163"/>
  <c r="G163" s="1"/>
  <c r="G168" s="1"/>
  <c r="G169" s="1"/>
  <c r="D115"/>
  <c r="D19"/>
  <c r="G25" i="2"/>
  <c r="G82" i="3" s="1"/>
  <c r="C25" i="2"/>
  <c r="B114" i="3"/>
  <c r="B117" s="1"/>
  <c r="D67"/>
  <c r="D118"/>
  <c r="F75"/>
  <c r="B75"/>
  <c r="H4" i="2" l="1"/>
  <c r="F4"/>
  <c r="F4" i="5" s="1"/>
  <c r="F18" i="2"/>
  <c r="E17"/>
  <c r="E15" s="1"/>
  <c r="D81" i="3"/>
  <c r="G4" i="2"/>
  <c r="C262" i="4"/>
  <c r="C263" s="1"/>
  <c r="D257"/>
  <c r="F15" i="5"/>
  <c r="H43" i="2"/>
  <c r="G15" i="5"/>
  <c r="E15"/>
  <c r="B17"/>
  <c r="E4"/>
  <c r="F117" i="3"/>
  <c r="E117"/>
  <c r="F74"/>
  <c r="D74"/>
  <c r="D117"/>
  <c r="H117"/>
  <c r="C117"/>
  <c r="E74"/>
  <c r="G23" i="2"/>
  <c r="F23"/>
  <c r="F8" i="5" s="1"/>
  <c r="F82" i="3"/>
  <c r="C23" i="2"/>
  <c r="C8" i="5" s="1"/>
  <c r="E23" i="2"/>
  <c r="E8" i="5" s="1"/>
  <c r="D82" i="3"/>
  <c r="C17" i="5"/>
  <c r="C81" i="3"/>
  <c r="C5" i="5"/>
  <c r="D54" i="2"/>
  <c r="D22"/>
  <c r="D35" s="1"/>
  <c r="D55"/>
  <c r="E53"/>
  <c r="B4"/>
  <c r="B55" s="1"/>
  <c r="B5" i="5"/>
  <c r="C54" i="2"/>
  <c r="B81" i="3"/>
  <c r="C4" i="2"/>
  <c r="E19" i="4"/>
  <c r="D24"/>
  <c r="D25" s="1"/>
  <c r="E115"/>
  <c r="D120"/>
  <c r="D121" s="1"/>
  <c r="D96"/>
  <c r="D97" s="1"/>
  <c r="E91"/>
  <c r="E48"/>
  <c r="E49" s="1"/>
  <c r="F43"/>
  <c r="G43" s="1"/>
  <c r="G48" s="1"/>
  <c r="G49" s="1"/>
  <c r="E211"/>
  <c r="D216"/>
  <c r="D217" s="1"/>
  <c r="E72"/>
  <c r="E73" s="1"/>
  <c r="F67"/>
  <c r="G67" s="1"/>
  <c r="G72" s="1"/>
  <c r="G73" s="1"/>
  <c r="H82" i="3"/>
  <c r="D7" i="5"/>
  <c r="F187" i="4"/>
  <c r="G187" s="1"/>
  <c r="E192"/>
  <c r="E193" s="1"/>
  <c r="E144"/>
  <c r="E145" s="1"/>
  <c r="F139"/>
  <c r="G139" s="1"/>
  <c r="G144" s="1"/>
  <c r="G145" s="1"/>
  <c r="E240"/>
  <c r="E241" s="1"/>
  <c r="F235"/>
  <c r="C82" i="3"/>
  <c r="H163" i="4"/>
  <c r="H168" s="1"/>
  <c r="H169" s="1"/>
  <c r="F168"/>
  <c r="F169" s="1"/>
  <c r="F53" i="2" l="1"/>
  <c r="H187" i="4"/>
  <c r="G192"/>
  <c r="G193" s="1"/>
  <c r="E5" i="5"/>
  <c r="E7" s="1"/>
  <c r="E54" i="2"/>
  <c r="G18"/>
  <c r="F17"/>
  <c r="F15" s="1"/>
  <c r="E55"/>
  <c r="E22"/>
  <c r="E47" s="1"/>
  <c r="E48" s="1"/>
  <c r="H53"/>
  <c r="G4" i="5"/>
  <c r="H4"/>
  <c r="G53" i="2"/>
  <c r="E81" i="3"/>
  <c r="D262" i="4"/>
  <c r="D263" s="1"/>
  <c r="E257"/>
  <c r="D39" i="2"/>
  <c r="D51" s="1"/>
  <c r="H8" i="5"/>
  <c r="G8"/>
  <c r="D47" i="2"/>
  <c r="B46"/>
  <c r="B4" i="5"/>
  <c r="B22" i="2"/>
  <c r="C55"/>
  <c r="C53"/>
  <c r="C22"/>
  <c r="D53"/>
  <c r="C46"/>
  <c r="C4" i="5"/>
  <c r="F192" i="4"/>
  <c r="F193" s="1"/>
  <c r="H192"/>
  <c r="H193" s="1"/>
  <c r="H67"/>
  <c r="H72" s="1"/>
  <c r="H73" s="1"/>
  <c r="F72"/>
  <c r="F73" s="1"/>
  <c r="E24"/>
  <c r="E25" s="1"/>
  <c r="F19"/>
  <c r="G19" s="1"/>
  <c r="G24" s="1"/>
  <c r="G25" s="1"/>
  <c r="E216"/>
  <c r="E217" s="1"/>
  <c r="F211"/>
  <c r="G211" s="1"/>
  <c r="G216" s="1"/>
  <c r="G217" s="1"/>
  <c r="F48"/>
  <c r="F49" s="1"/>
  <c r="H43"/>
  <c r="H48" s="1"/>
  <c r="H49" s="1"/>
  <c r="E120"/>
  <c r="E121" s="1"/>
  <c r="F115"/>
  <c r="G115" s="1"/>
  <c r="G120" s="1"/>
  <c r="G121" s="1"/>
  <c r="F240"/>
  <c r="F241" s="1"/>
  <c r="H235"/>
  <c r="H240" s="1"/>
  <c r="H241" s="1"/>
  <c r="F144"/>
  <c r="F145" s="1"/>
  <c r="H139"/>
  <c r="H144" s="1"/>
  <c r="H145" s="1"/>
  <c r="D9" i="5"/>
  <c r="D19"/>
  <c r="F91" i="4"/>
  <c r="G91" s="1"/>
  <c r="G96" s="1"/>
  <c r="G97" s="1"/>
  <c r="E96"/>
  <c r="E97" s="1"/>
  <c r="E35" i="2" l="1"/>
  <c r="E19" i="5"/>
  <c r="E20" s="1"/>
  <c r="E9"/>
  <c r="H18" i="2"/>
  <c r="H17" s="1"/>
  <c r="H15" s="1"/>
  <c r="G17"/>
  <c r="G15" s="1"/>
  <c r="F55"/>
  <c r="F5" i="5"/>
  <c r="F7" s="1"/>
  <c r="F54" i="2"/>
  <c r="F22"/>
  <c r="F81" i="3"/>
  <c r="E262" i="4"/>
  <c r="E263" s="1"/>
  <c r="F257"/>
  <c r="G257" s="1"/>
  <c r="G262" s="1"/>
  <c r="G263" s="1"/>
  <c r="E39" i="2"/>
  <c r="E11" i="5" s="1"/>
  <c r="D11"/>
  <c r="D14" s="1"/>
  <c r="D42" i="2"/>
  <c r="D48"/>
  <c r="B35"/>
  <c r="B51" s="1"/>
  <c r="B47"/>
  <c r="B18" i="5"/>
  <c r="B7"/>
  <c r="C7"/>
  <c r="C18"/>
  <c r="C35" i="2"/>
  <c r="C51" s="1"/>
  <c r="C47"/>
  <c r="F120" i="4"/>
  <c r="F121" s="1"/>
  <c r="H115"/>
  <c r="H120" s="1"/>
  <c r="H121" s="1"/>
  <c r="F96"/>
  <c r="F97" s="1"/>
  <c r="H91"/>
  <c r="H96" s="1"/>
  <c r="H97" s="1"/>
  <c r="D20" i="5"/>
  <c r="F216" i="4"/>
  <c r="F217" s="1"/>
  <c r="H211"/>
  <c r="H216" s="1"/>
  <c r="H217" s="1"/>
  <c r="F24"/>
  <c r="F25" s="1"/>
  <c r="H19"/>
  <c r="H24" s="1"/>
  <c r="H25" s="1"/>
  <c r="E12" i="5" l="1"/>
  <c r="F19"/>
  <c r="F20" s="1"/>
  <c r="F9"/>
  <c r="H54" i="2"/>
  <c r="G54"/>
  <c r="G81" i="3"/>
  <c r="G5" i="5"/>
  <c r="G7" s="1"/>
  <c r="H5"/>
  <c r="H7" s="1"/>
  <c r="G55" i="2"/>
  <c r="G22"/>
  <c r="F47"/>
  <c r="F48" s="1"/>
  <c r="F35"/>
  <c r="F39" s="1"/>
  <c r="F11" i="5" s="1"/>
  <c r="H55" i="2"/>
  <c r="H81" i="3"/>
  <c r="H22" i="2"/>
  <c r="F262" i="4"/>
  <c r="F263" s="1"/>
  <c r="H257"/>
  <c r="H262" s="1"/>
  <c r="H263" s="1"/>
  <c r="D17" i="5"/>
  <c r="E14"/>
  <c r="E42" i="2"/>
  <c r="D45"/>
  <c r="D12" i="5"/>
  <c r="E51" i="2"/>
  <c r="B9" i="5"/>
  <c r="B12" s="1"/>
  <c r="B19"/>
  <c r="B48" i="2"/>
  <c r="B49"/>
  <c r="C9" i="5"/>
  <c r="C12" s="1"/>
  <c r="C19"/>
  <c r="C48" i="2"/>
  <c r="C49"/>
  <c r="G47" l="1"/>
  <c r="G48" s="1"/>
  <c r="G35"/>
  <c r="G39" s="1"/>
  <c r="F51"/>
  <c r="H47"/>
  <c r="H48" s="1"/>
  <c r="H35"/>
  <c r="H39" s="1"/>
  <c r="H51" s="1"/>
  <c r="H19" i="5"/>
  <c r="H20" s="1"/>
  <c r="H9"/>
  <c r="F12"/>
  <c r="G19"/>
  <c r="G20" s="1"/>
  <c r="G9"/>
  <c r="D18"/>
  <c r="D21"/>
  <c r="F14"/>
  <c r="E17"/>
  <c r="E45" i="2"/>
  <c r="F42"/>
  <c r="D46"/>
  <c r="D49"/>
  <c r="B21" i="5"/>
  <c r="B20"/>
  <c r="C20"/>
  <c r="C21"/>
  <c r="G51" i="2" l="1"/>
  <c r="G11" i="5"/>
  <c r="G12" s="1"/>
  <c r="H11"/>
  <c r="H12" s="1"/>
  <c r="G42" i="2"/>
  <c r="F45"/>
  <c r="E46"/>
  <c r="E49"/>
  <c r="F17" i="5"/>
  <c r="E18"/>
  <c r="E21"/>
  <c r="G14" l="1"/>
  <c r="G17" s="1"/>
  <c r="G21" s="1"/>
  <c r="H14"/>
  <c r="H17" s="1"/>
  <c r="H21" s="1"/>
  <c r="F46" i="2"/>
  <c r="F49"/>
  <c r="H42"/>
  <c r="H45" s="1"/>
  <c r="G45"/>
  <c r="F18" i="5"/>
  <c r="F21"/>
  <c r="G18" l="1"/>
  <c r="H18"/>
  <c r="G49" i="2"/>
  <c r="G46"/>
  <c r="H46"/>
  <c r="H49"/>
</calcChain>
</file>

<file path=xl/comments1.xml><?xml version="1.0" encoding="utf-8"?>
<comments xmlns="http://schemas.openxmlformats.org/spreadsheetml/2006/main">
  <authors>
    <author/>
  </authors>
  <commentList>
    <comment ref="C42" authorId="0">
      <text>
        <r>
          <rPr>
            <b/>
            <sz val="8"/>
            <color indexed="8"/>
            <rFont val="Tahoma"/>
            <family val="2"/>
            <charset val="186"/>
          </rPr>
          <t xml:space="preserve">kerstis:
</t>
        </r>
        <r>
          <rPr>
            <sz val="8"/>
            <color indexed="8"/>
            <rFont val="Tahoma"/>
            <family val="2"/>
            <charset val="186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"/>
            <rFont val="Tahoma"/>
            <family val="2"/>
            <charset val="186"/>
          </rPr>
          <t xml:space="preserve">kerstis:
</t>
        </r>
        <r>
          <rPr>
            <sz val="8"/>
            <color indexed="8"/>
            <rFont val="Tahoma"/>
            <family val="2"/>
            <charset val="186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color indexed="8"/>
            <rFont val="Tahoma"/>
            <family val="2"/>
            <charset val="186"/>
          </rPr>
          <t xml:space="preserve">kerstis:
</t>
        </r>
        <r>
          <rPr>
            <sz val="8"/>
            <color indexed="8"/>
            <rFont val="Tahoma"/>
            <family val="2"/>
            <charset val="186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color indexed="8"/>
            <rFont val="Tahoma"/>
            <family val="2"/>
            <charset val="186"/>
          </rPr>
          <t xml:space="preserve">kerstis:
</t>
        </r>
        <r>
          <rPr>
            <sz val="8"/>
            <color indexed="8"/>
            <rFont val="Tahoma"/>
            <family val="2"/>
            <charset val="186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D165" authorId="0">
      <text>
        <r>
          <rPr>
            <b/>
            <sz val="8"/>
            <color indexed="8"/>
            <rFont val="Tahoma"/>
            <family val="2"/>
            <charset val="186"/>
          </rPr>
          <t xml:space="preserve">kerstis:
</t>
        </r>
        <r>
          <rPr>
            <sz val="8"/>
            <color indexed="8"/>
            <rFont val="Tahoma"/>
            <family val="2"/>
            <charset val="186"/>
          </rPr>
          <t>peab võrduma eelmise a vaba jäägiga</t>
        </r>
      </text>
    </comment>
  </commentList>
</comments>
</file>

<file path=xl/sharedStrings.xml><?xml version="1.0" encoding="utf-8"?>
<sst xmlns="http://schemas.openxmlformats.org/spreadsheetml/2006/main" count="779" uniqueCount="417">
  <si>
    <t>Esitada igale kvartalile järgneva kuu viimaseks kuupäevaks</t>
  </si>
  <si>
    <t>Strateegia vormi automaatseks täitmiseks</t>
  </si>
  <si>
    <t>EELARVEARUANDE VORM</t>
  </si>
  <si>
    <t>n-1 aasta täitmine</t>
  </si>
  <si>
    <t>Omavalitsuse nimi</t>
  </si>
  <si>
    <t>Seisuga</t>
  </si>
  <si>
    <t>(sendi täpsusega)</t>
  </si>
  <si>
    <t>Tunnus</t>
  </si>
  <si>
    <t>Kirje nimetus</t>
  </si>
  <si>
    <t>Eelarve (märkida kas tekke- või kassapõhine)</t>
  </si>
  <si>
    <t>Aasta
algusest kokku</t>
  </si>
  <si>
    <t>Aasta algusest kokku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</si>
  <si>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</si>
  <si>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</si>
  <si>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</si>
  <si>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</si>
  <si>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</si>
  <si>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</si>
  <si>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</si>
  <si>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</si>
  <si>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</si>
  <si>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</si>
  <si>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</si>
  <si>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</si>
  <si>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</si>
  <si>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</si>
  <si>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</si>
  <si>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</si>
  <si>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</si>
  <si>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</si>
  <si>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</si>
  <si>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</si>
  <si>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</si>
  <si>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</si>
  <si>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</si>
  <si>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</si>
  <si>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</si>
  <si>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</si>
  <si>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</si>
  <si>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</si>
  <si>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</si>
  <si>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</si>
  <si>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</si>
  <si>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</si>
  <si>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</si>
  <si>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</si>
  <si>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</si>
  <si>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</si>
  <si>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</si>
  <si>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</si>
  <si>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</si>
  <si>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</si>
  <si>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</si>
  <si>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</si>
  <si>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</si>
  <si>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</si>
  <si>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</si>
  <si>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</si>
  <si>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</si>
  <si>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</si>
  <si>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</si>
  <si>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</si>
  <si>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</si>
  <si>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</si>
  <si>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</si>
  <si>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</si>
  <si>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</si>
  <si>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</si>
  <si>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</si>
  <si>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</si>
  <si>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</si>
  <si>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</si>
  <si>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</si>
  <si>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</si>
  <si>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</si>
  <si>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</si>
  <si>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</si>
  <si>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</si>
  <si>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</si>
  <si>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</si>
  <si>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</si>
  <si>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</si>
  <si>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</si>
  <si>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</si>
  <si>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</si>
  <si>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</si>
  <si>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</si>
  <si>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</si>
  <si>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</si>
  <si>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</si>
  <si>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</si>
  <si>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</si>
  <si>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</si>
  <si>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</si>
  <si>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</si>
  <si>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</si>
  <si>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</si>
  <si>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</si>
  <si>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</si>
  <si>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</si>
  <si>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</si>
  <si>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</si>
  <si>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</si>
  <si>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</si>
  <si>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</si>
  <si>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</si>
  <si>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</si>
  <si>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</si>
  <si>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</si>
  <si>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</si>
  <si>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</si>
  <si>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</si>
  <si>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</si>
  <si>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</si>
  <si>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</si>
  <si>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</si>
  <si>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</si>
  <si>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</si>
  <si>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</si>
  <si>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</si>
  <si>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</si>
  <si>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</si>
  <si>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</si>
  <si>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</si>
  <si>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</si>
  <si>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</si>
  <si>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</si>
  <si>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</si>
  <si>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</si>
  <si>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</si>
  <si>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</si>
  <si>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</si>
  <si>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</si>
  <si>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</si>
  <si>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</si>
  <si>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</si>
  <si>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</si>
  <si>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</si>
  <si>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</si>
  <si>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</si>
  <si>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</si>
  <si>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</si>
  <si>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</si>
  <si>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</si>
  <si>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</si>
  <si>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</si>
  <si>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</si>
  <si>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</si>
  <si>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</si>
  <si>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</si>
  <si>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</si>
  <si>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</si>
  <si>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</si>
  <si>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</si>
  <si>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</si>
  <si>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</si>
  <si>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</si>
  <si>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</si>
  <si>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</si>
  <si>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</si>
  <si>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</si>
  <si>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</si>
  <si>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</si>
  <si>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</si>
  <si>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</si>
  <si>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</si>
  <si>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</si>
  <si>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</si>
  <si>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</si>
  <si>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</si>
  <si>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</si>
  <si>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</si>
  <si>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</si>
  <si>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</si>
  <si>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</si>
  <si>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</si>
  <si>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</si>
  <si>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</si>
  <si>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</si>
  <si>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</si>
  <si>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</si>
  <si>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</si>
  <si>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</si>
  <si>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</si>
  <si>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</si>
  <si>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</si>
  <si>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</si>
  <si>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</si>
  <si>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</si>
  <si>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</si>
  <si>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</si>
  <si>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</si>
  <si>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</si>
  <si>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</si>
  <si>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</si>
  <si>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</si>
  <si>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</si>
  <si>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</si>
  <si>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</si>
  <si>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</si>
  <si>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</si>
  <si>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</si>
  <si>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</si>
  <si>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</si>
  <si>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</si>
  <si>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</si>
  <si>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</si>
  <si>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</si>
  <si>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</si>
  <si>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</si>
  <si>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</si>
  <si>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</si>
  <si>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</si>
  <si>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</si>
  <si>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</si>
  <si>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</si>
  <si>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</si>
  <si>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</si>
  <si>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</si>
  <si>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</si>
  <si>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</si>
  <si>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</si>
  <si>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</si>
  <si>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</si>
  <si>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</si>
  <si>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</si>
  <si>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</si>
  <si>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</si>
  <si>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</si>
  <si>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</si>
  <si>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</si>
  <si>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</si>
  <si>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</si>
  <si>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</si>
  <si>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</si>
  <si>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</si>
  <si>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</si>
  <si>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</si>
  <si>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</si>
  <si>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</si>
  <si>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</si>
  <si>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</si>
  <si>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</si>
  <si>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</si>
  <si>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</si>
  <si>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</si>
  <si>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</si>
  <si>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</si>
  <si>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</si>
  <si>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</si>
  <si>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</si>
  <si>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</si>
  <si>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</si>
  <si>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</si>
  <si>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</si>
  <si>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</si>
  <si>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</si>
  <si>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</si>
  <si>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</si>
  <si>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</si>
  <si>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</si>
  <si>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</si>
  <si>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</si>
  <si>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</si>
  <si>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</si>
  <si>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</si>
  <si>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</si>
  <si>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</si>
  <si>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</si>
  <si>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</si>
  <si>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</si>
  <si>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</si>
  <si>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</si>
  <si>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</si>
  <si>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</si>
  <si>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</si>
  <si>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</si>
  <si>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</si>
  <si>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</si>
  <si>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>Eelarve vastuvõtmise kuupäev</t>
  </si>
  <si>
    <t>Lisaeelarve(te) vastuvõtmise kuupäev(ad)</t>
  </si>
  <si>
    <t>Netovõlakoormus (%)</t>
  </si>
  <si>
    <t>Tasakaalu kontroll</t>
  </si>
  <si>
    <t>Vaba jäägi aasta alguse ja perioodi lõpu võrdlus (read 163 ja 52)</t>
  </si>
  <si>
    <t xml:space="preserve">Kokku artiklite ja tegevusalade võrdlus 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</si>
  <si>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</si>
  <si>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</si>
  <si>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</si>
  <si>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</si>
  <si>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</si>
  <si>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</si>
  <si>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</si>
  <si>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( lg 1)</t>
  </si>
  <si>
    <t xml:space="preserve">         sh  toetusfond ( lg 2)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</si>
  <si>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</si>
  <si>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</si>
  <si>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</si>
  <si>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</si>
  <si>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</si>
  <si>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</si>
  <si>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</si>
  <si>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</si>
  <si>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</si>
  <si>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</si>
  <si>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</si>
  <si>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</si>
  <si>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</si>
  <si>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      sh projektide omaosalus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</si>
  <si>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</si>
  <si>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</si>
  <si>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</si>
  <si>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</si>
  <si>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</si>
  <si>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</si>
  <si>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</si>
  <si>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</si>
  <si>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</si>
  <si>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</si>
  <si>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</si>
  <si>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</si>
  <si>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</si>
  <si>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</si>
  <si>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</si>
  <si>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</si>
  <si>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sildfinantseering</t>
  </si>
  <si>
    <r>
      <t>Netovõlakoormus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</si>
  <si>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</si>
  <si>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</si>
  <si>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</si>
  <si>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Vaba netovõlakoormus (eurodes)</t>
  </si>
  <si>
    <t>E/a kontroll (tasakaal)</t>
  </si>
  <si>
    <t>Põhitegevuse tulude muutus</t>
  </si>
  <si>
    <t>-</t>
  </si>
  <si>
    <t>Põhitegevuse kulude muutus</t>
  </si>
  <si>
    <t>Omafinantseerimise võimekuse näitaja</t>
  </si>
  <si>
    <t>Investeeringuprojektid*</t>
  </si>
  <si>
    <t>sh toetuse arvelt</t>
  </si>
  <si>
    <t>sh muude vahendite arvelt (omaosalus)</t>
  </si>
  <si>
    <t>Eelpool nimetamata muud projektid kokku</t>
  </si>
  <si>
    <t>KÕIK KOKKU</t>
  </si>
  <si>
    <t>* Tähtsamad investeeringuprojektid tuua eraldi välja (KOIT, ÜF, LPA, PKT)</t>
  </si>
  <si>
    <t>01 Üldised valitsussektori teenused</t>
  </si>
  <si>
    <t xml:space="preserve">  Põhitegevuse kulud</t>
  </si>
  <si>
    <t xml:space="preserve">     sh saadud toetuste arvelt</t>
  </si>
  <si>
    <t xml:space="preserve">     sh muude vahendite arvelt</t>
  </si>
  <si>
    <t xml:space="preserve">  Investeerimistegevuse kulud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</si>
  <si>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</si>
  <si>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</si>
  <si>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</si>
  <si>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</si>
  <si>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</si>
  <si>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</si>
  <si>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</si>
  <si>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</si>
  <si>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</si>
  <si>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KOKKU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</si>
  <si>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</si>
  <si>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</si>
  <si>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</si>
  <si>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Muude vahendite arvelt tehtud väljaminekud</t>
  </si>
  <si>
    <t>Põhitegevuse tulud kokku (+)</t>
  </si>
  <si>
    <t xml:space="preserve">    sh saadud tulud kohalikult omavalitsuselt</t>
  </si>
  <si>
    <t xml:space="preserve">        sh alates 2012 sõlmitud katkestamatud kasutusrendimaksed</t>
  </si>
  <si>
    <t xml:space="preserve">    sh saadud tulud muudelt arvestusüksusesse kuuluvatelt üksustelt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</si>
  <si>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</si>
  <si>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</si>
  <si>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</si>
  <si>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 xml:space="preserve">    sh alates 2012 katkestamatud kasutusrendimaksed (arvestusüksusesse mitte kuuluvatele üksustele)</t>
  </si>
  <si>
    <t>Põhitegevustulem</t>
  </si>
  <si>
    <t>Investeerimistegevus kokku (+/-)</t>
  </si>
  <si>
    <t>Finantseerimistegevus (-/+)</t>
  </si>
  <si>
    <t>Nõuete ja kohustuste saldode muutus (tekkepõhise e/a korral) (+/-)</t>
  </si>
  <si>
    <t xml:space="preserve">    sh sildfinantseering (arvestusüksuse väline)</t>
  </si>
  <si>
    <t xml:space="preserve">    sh võlakohustused (arvestusüksuse sisene)</t>
  </si>
  <si>
    <t xml:space="preserve">    sh muud võlakohustused, mis kajastuvad ka KOV bilansis</t>
  </si>
  <si>
    <t>Netovõlakoormus (eurodes)</t>
  </si>
  <si>
    <t>Sõltuv üksus 10 (nimi)</t>
  </si>
  <si>
    <t>Sõltuvad üksused KOKKU 
(konsolideeritud)</t>
  </si>
  <si>
    <t>Sõltuvate üksuste omavaheliste tehingute kontroll</t>
  </si>
  <si>
    <t>Arvestusüksus (nimi)</t>
  </si>
  <si>
    <r>
      <t xml:space="preserve">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</si>
  <si>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>Netovõlakoormuse ülemmäär (eurodes)</t>
  </si>
  <si>
    <t>Netovõlakoormuse ülemmäär (%)</t>
  </si>
  <si>
    <t>Tartu LV</t>
  </si>
  <si>
    <t>Täitmine  2011</t>
  </si>
  <si>
    <t>Eelarve 2012</t>
  </si>
  <si>
    <t>Tartu ühistranspordi juhtimis- ja kontrollsüsteemi arendamine</t>
  </si>
  <si>
    <t>Tartu lasteaedade laiendamine (eelnevalt: Tartu lasteaia Rukkilill laiendamine)</t>
  </si>
  <si>
    <t>Anne Noortekeskuse rajamine</t>
  </si>
  <si>
    <t>Anne Infokeskuse "Tartu Noored" rajamine</t>
  </si>
  <si>
    <t>Uue Tartu Loodusmaja rajamine</t>
  </si>
  <si>
    <t>Sõpruse paadisadama väljaarendamine</t>
  </si>
  <si>
    <t>Emajõe kaldakindlustuste rekonstrueerimine ja jõeäärsete teede korrastamine</t>
  </si>
  <si>
    <t>EST-LAT-RUS TRAFFIC</t>
  </si>
  <si>
    <t>Tamme staadioni tribüünihoone</t>
  </si>
  <si>
    <t>Keskkonnahariduse Keskus (Lille 10) projekteerimine</t>
  </si>
  <si>
    <t>Loomemajanduse keskus Kalevi  15,17</t>
  </si>
  <si>
    <t>Kutsehariduskeskuse (Põllu 11) autoerialade õppetöökoja rajamine</t>
  </si>
  <si>
    <t>Varjupaiga (Lubja 7) renoveerimine</t>
  </si>
  <si>
    <t>Tartu idapoolne ringtee</t>
  </si>
  <si>
    <t>THI</t>
  </si>
  <si>
    <t>SA Tartumaa Turism</t>
  </si>
  <si>
    <t>SA Tartu Loomemajanduskeskus</t>
  </si>
  <si>
    <t>SA Tartu Sport</t>
  </si>
  <si>
    <t>SA Tähtvere Puhkepark</t>
  </si>
  <si>
    <t>SA Tartu Kultuurkapital</t>
  </si>
  <si>
    <t>SA Tartu Eluasemefond</t>
  </si>
  <si>
    <t>SA Tartu Vaimse Tervise Hooldekeskus</t>
  </si>
  <si>
    <t>OÜ Anne Saun</t>
  </si>
  <si>
    <t>OÜ Tartu Linna Polikliinik</t>
  </si>
  <si>
    <t>Tartu Linnavalitsus</t>
  </si>
  <si>
    <t>08.06.2012.</t>
  </si>
  <si>
    <t>1.1. Eelarvearuanne 08.06.</t>
  </si>
  <si>
    <t>1.2. Strateegia vorm KOV</t>
  </si>
  <si>
    <t>1.3. Strateegia vorm valdkonniti</t>
  </si>
  <si>
    <t>1.4. Sõltuvad üksused</t>
  </si>
  <si>
    <t>1.5. Arvestusüksused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</si>
</sst>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00"/>
  </numFmts>
  <fonts count="46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Times New Roman"/>
      <family val="1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Tahoma"/>
      <family val="2"/>
      <charset val="186"/>
    </font>
    <font>
      <sz val="8"/>
      <color indexed="8"/>
      <name val="Tahoma"/>
      <family val="2"/>
      <charset val="186"/>
    </font>
    <font>
      <sz val="10"/>
      <color indexed="10"/>
      <name val="Times New Roman"/>
      <family val="1"/>
      <charset val="186"/>
    </font>
    <font>
      <sz val="10"/>
      <color indexed="57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57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0"/>
      <name val="Arial"/>
      <family val="2"/>
    </font>
    <font>
      <b/>
      <sz val="12"/>
      <name val="Times New Roman"/>
      <family val="1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5"/>
        <bgColor indexed="3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42" fillId="0" borderId="0"/>
    <xf numFmtId="0" fontId="14" fillId="0" borderId="0"/>
    <xf numFmtId="0" fontId="14" fillId="0" borderId="0"/>
    <xf numFmtId="0" fontId="42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2">
    <xf numFmtId="0" fontId="0" fillId="0" borderId="0" xfId="0"/>
    <xf numFmtId="0" fontId="19" fillId="0" borderId="0" xfId="37" applyFont="1"/>
    <xf numFmtId="0" fontId="14" fillId="0" borderId="0" xfId="37" applyFont="1"/>
    <xf numFmtId="4" fontId="14" fillId="0" borderId="0" xfId="37" applyNumberFormat="1" applyFont="1"/>
    <xf numFmtId="4" fontId="20" fillId="0" borderId="10" xfId="37" applyNumberFormat="1" applyFont="1" applyBorder="1"/>
    <xf numFmtId="0" fontId="21" fillId="0" borderId="0" xfId="37" applyFont="1" applyFill="1" applyProtection="1">
      <protection locked="0"/>
    </xf>
    <xf numFmtId="0" fontId="14" fillId="0" borderId="0" xfId="37" applyFont="1" applyProtection="1">
      <protection locked="0"/>
    </xf>
    <xf numFmtId="4" fontId="22" fillId="0" borderId="0" xfId="37" applyNumberFormat="1" applyFont="1" applyBorder="1" applyAlignment="1" applyProtection="1">
      <protection locked="0"/>
    </xf>
    <xf numFmtId="4" fontId="22" fillId="0" borderId="0" xfId="37" applyNumberFormat="1" applyFont="1" applyBorder="1" applyProtection="1">
      <protection locked="0"/>
    </xf>
    <xf numFmtId="0" fontId="23" fillId="24" borderId="0" xfId="37" applyFont="1" applyFill="1" applyAlignment="1">
      <alignment wrapText="1"/>
    </xf>
    <xf numFmtId="0" fontId="24" fillId="0" borderId="0" xfId="39" applyFont="1" applyFill="1" applyBorder="1" applyAlignment="1" applyProtection="1">
      <alignment horizontal="left"/>
      <protection locked="0"/>
    </xf>
    <xf numFmtId="0" fontId="21" fillId="0" borderId="0" xfId="39" applyFont="1" applyFill="1" applyBorder="1" applyProtection="1">
      <protection locked="0"/>
    </xf>
    <xf numFmtId="0" fontId="14" fillId="0" borderId="0" xfId="39" applyFont="1" applyFill="1" applyBorder="1" applyProtection="1">
      <protection locked="0"/>
    </xf>
    <xf numFmtId="0" fontId="0" fillId="24" borderId="0" xfId="37" applyFont="1" applyFill="1" applyAlignment="1">
      <alignment horizontal="center"/>
    </xf>
    <xf numFmtId="0" fontId="19" fillId="0" borderId="11" xfId="39" applyFont="1" applyFill="1" applyBorder="1" applyAlignment="1" applyProtection="1">
      <alignment horizontal="left"/>
      <protection locked="0"/>
    </xf>
    <xf numFmtId="0" fontId="14" fillId="0" borderId="12" xfId="39" applyFont="1" applyFill="1" applyBorder="1" applyAlignment="1" applyProtection="1">
      <alignment horizontal="left"/>
      <protection locked="0"/>
    </xf>
    <xf numFmtId="0" fontId="14" fillId="0" borderId="12" xfId="39" applyFont="1" applyFill="1" applyBorder="1" applyProtection="1">
      <protection locked="0"/>
    </xf>
    <xf numFmtId="4" fontId="22" fillId="0" borderId="13" xfId="39" applyNumberFormat="1" applyFont="1" applyFill="1" applyBorder="1" applyAlignment="1" applyProtection="1">
      <alignment horizontal="left"/>
      <protection locked="0"/>
    </xf>
    <xf numFmtId="4" fontId="22" fillId="0" borderId="14" xfId="39" applyNumberFormat="1" applyFont="1" applyFill="1" applyBorder="1" applyProtection="1">
      <protection locked="0"/>
    </xf>
    <xf numFmtId="0" fontId="19" fillId="0" borderId="15" xfId="39" applyFont="1" applyFill="1" applyBorder="1" applyAlignment="1" applyProtection="1">
      <alignment horizontal="left"/>
      <protection locked="0"/>
    </xf>
    <xf numFmtId="0" fontId="14" fillId="0" borderId="16" xfId="39" applyFont="1" applyFill="1" applyBorder="1" applyAlignment="1" applyProtection="1">
      <alignment horizontal="left"/>
      <protection locked="0"/>
    </xf>
    <xf numFmtId="0" fontId="14" fillId="0" borderId="16" xfId="39" applyFont="1" applyFill="1" applyBorder="1" applyProtection="1">
      <protection locked="0"/>
    </xf>
    <xf numFmtId="4" fontId="22" fillId="0" borderId="17" xfId="39" applyNumberFormat="1" applyFont="1" applyBorder="1" applyAlignment="1" applyProtection="1">
      <alignment horizontal="right"/>
      <protection locked="0"/>
    </xf>
    <xf numFmtId="4" fontId="22" fillId="0" borderId="18" xfId="39" applyNumberFormat="1" applyFont="1" applyBorder="1" applyAlignment="1" applyProtection="1">
      <alignment horizontal="right"/>
      <protection locked="0"/>
    </xf>
    <xf numFmtId="0" fontId="14" fillId="0" borderId="19" xfId="37" applyFont="1" applyBorder="1" applyAlignment="1">
      <alignment horizontal="left"/>
    </xf>
    <xf numFmtId="0" fontId="14" fillId="0" borderId="20" xfId="39" applyFont="1" applyFill="1" applyBorder="1" applyAlignment="1" applyProtection="1">
      <alignment horizontal="left"/>
      <protection locked="0"/>
    </xf>
    <xf numFmtId="0" fontId="14" fillId="0" borderId="20" xfId="39" applyFont="1" applyFill="1" applyBorder="1" applyProtection="1">
      <protection locked="0"/>
    </xf>
    <xf numFmtId="4" fontId="22" fillId="0" borderId="21" xfId="39" applyNumberFormat="1" applyFont="1" applyFill="1" applyBorder="1" applyAlignment="1" applyProtection="1">
      <alignment wrapText="1"/>
      <protection locked="0"/>
    </xf>
    <xf numFmtId="4" fontId="22" fillId="0" borderId="22" xfId="39" applyNumberFormat="1" applyFont="1" applyFill="1" applyBorder="1" applyAlignment="1" applyProtection="1">
      <alignment wrapText="1"/>
      <protection locked="0"/>
    </xf>
    <xf numFmtId="4" fontId="22" fillId="0" borderId="23" xfId="39" applyNumberFormat="1" applyFont="1" applyFill="1" applyBorder="1" applyAlignment="1" applyProtection="1">
      <alignment horizontal="right" wrapText="1"/>
      <protection locked="0"/>
    </xf>
    <xf numFmtId="0" fontId="19" fillId="0" borderId="19" xfId="37" applyFont="1" applyBorder="1" applyAlignment="1">
      <alignment horizontal="left"/>
    </xf>
    <xf numFmtId="0" fontId="21" fillId="4" borderId="20" xfId="39" applyFont="1" applyFill="1" applyBorder="1" applyAlignment="1">
      <alignment horizontal="left"/>
    </xf>
    <xf numFmtId="0" fontId="21" fillId="4" borderId="12" xfId="39" applyFont="1" applyFill="1" applyBorder="1"/>
    <xf numFmtId="4" fontId="25" fillId="0" borderId="13" xfId="39" applyNumberFormat="1" applyFont="1" applyFill="1" applyBorder="1" applyAlignment="1" applyProtection="1"/>
    <xf numFmtId="4" fontId="25" fillId="0" borderId="24" xfId="39" applyNumberFormat="1" applyFont="1" applyFill="1" applyBorder="1" applyAlignment="1" applyProtection="1"/>
    <xf numFmtId="0" fontId="26" fillId="0" borderId="0" xfId="0" applyFont="1"/>
    <xf numFmtId="0" fontId="26" fillId="0" borderId="0" xfId="37" applyFont="1"/>
    <xf numFmtId="0" fontId="21" fillId="20" borderId="16" xfId="37" applyFont="1" applyFill="1" applyBorder="1" applyAlignment="1">
      <alignment horizontal="left"/>
    </xf>
    <xf numFmtId="0" fontId="21" fillId="20" borderId="20" xfId="39" applyFont="1" applyFill="1" applyBorder="1"/>
    <xf numFmtId="4" fontId="25" fillId="0" borderId="21" xfId="39" applyNumberFormat="1" applyFont="1" applyFill="1" applyBorder="1" applyAlignment="1" applyProtection="1"/>
    <xf numFmtId="4" fontId="25" fillId="0" borderId="22" xfId="39" applyNumberFormat="1" applyFont="1" applyFill="1" applyBorder="1" applyAlignment="1" applyProtection="1"/>
    <xf numFmtId="4" fontId="25" fillId="0" borderId="23" xfId="39" applyNumberFormat="1" applyFont="1" applyFill="1" applyBorder="1" applyAlignment="1" applyProtection="1"/>
    <xf numFmtId="0" fontId="19" fillId="0" borderId="11" xfId="39" applyFont="1" applyFill="1" applyBorder="1" applyAlignment="1">
      <alignment horizontal="left"/>
    </xf>
    <xf numFmtId="0" fontId="14" fillId="0" borderId="12" xfId="39" applyFont="1" applyFill="1" applyBorder="1" applyAlignment="1">
      <alignment horizontal="left"/>
    </xf>
    <xf numFmtId="0" fontId="14" fillId="0" borderId="0" xfId="39" applyFont="1" applyFill="1" applyBorder="1"/>
    <xf numFmtId="4" fontId="27" fillId="0" borderId="25" xfId="39" applyNumberFormat="1" applyFont="1" applyFill="1" applyBorder="1" applyAlignment="1" applyProtection="1">
      <protection locked="0"/>
    </xf>
    <xf numFmtId="4" fontId="27" fillId="0" borderId="26" xfId="38" applyNumberFormat="1" applyFont="1" applyFill="1" applyBorder="1" applyProtection="1">
      <protection locked="0"/>
    </xf>
    <xf numFmtId="0" fontId="19" fillId="0" borderId="28" xfId="39" applyFont="1" applyFill="1" applyBorder="1" applyAlignment="1">
      <alignment horizontal="left"/>
    </xf>
    <xf numFmtId="0" fontId="14" fillId="0" borderId="0" xfId="39" applyFont="1" applyFill="1" applyBorder="1" applyAlignment="1">
      <alignment horizontal="left"/>
    </xf>
    <xf numFmtId="4" fontId="27" fillId="0" borderId="26" xfId="39" applyNumberFormat="1" applyFont="1" applyFill="1" applyBorder="1" applyProtection="1">
      <protection locked="0"/>
    </xf>
    <xf numFmtId="0" fontId="19" fillId="0" borderId="15" xfId="39" applyFont="1" applyFill="1" applyBorder="1" applyAlignment="1">
      <alignment horizontal="left"/>
    </xf>
    <xf numFmtId="0" fontId="14" fillId="0" borderId="0" xfId="37" applyFont="1" applyFill="1" applyBorder="1"/>
    <xf numFmtId="0" fontId="19" fillId="0" borderId="15" xfId="37" applyFont="1" applyBorder="1" applyAlignment="1">
      <alignment horizontal="left"/>
    </xf>
    <xf numFmtId="0" fontId="21" fillId="20" borderId="20" xfId="39" applyFont="1" applyFill="1" applyBorder="1" applyAlignment="1">
      <alignment horizontal="left"/>
    </xf>
    <xf numFmtId="4" fontId="27" fillId="0" borderId="29" xfId="39" applyNumberFormat="1" applyFont="1" applyFill="1" applyBorder="1" applyAlignment="1" applyProtection="1"/>
    <xf numFmtId="4" fontId="27" fillId="0" borderId="10" xfId="39" applyNumberFormat="1" applyFont="1" applyFill="1" applyBorder="1" applyAlignment="1" applyProtection="1"/>
    <xf numFmtId="4" fontId="27" fillId="0" borderId="30" xfId="39" applyNumberFormat="1" applyFont="1" applyFill="1" applyBorder="1" applyAlignment="1" applyProtection="1">
      <protection locked="0"/>
    </xf>
    <xf numFmtId="4" fontId="27" fillId="0" borderId="26" xfId="39" applyNumberFormat="1" applyFont="1" applyFill="1" applyBorder="1" applyAlignment="1" applyProtection="1"/>
    <xf numFmtId="0" fontId="14" fillId="0" borderId="16" xfId="39" applyFont="1" applyFill="1" applyBorder="1" applyAlignment="1">
      <alignment horizontal="left"/>
    </xf>
    <xf numFmtId="0" fontId="14" fillId="0" borderId="16" xfId="37" applyFont="1" applyFill="1" applyBorder="1"/>
    <xf numFmtId="4" fontId="27" fillId="0" borderId="31" xfId="39" applyNumberFormat="1" applyFont="1" applyFill="1" applyBorder="1" applyAlignment="1" applyProtection="1"/>
    <xf numFmtId="4" fontId="27" fillId="0" borderId="32" xfId="39" applyNumberFormat="1" applyFont="1" applyFill="1" applyBorder="1" applyAlignment="1" applyProtection="1"/>
    <xf numFmtId="0" fontId="21" fillId="20" borderId="33" xfId="39" applyFont="1" applyFill="1" applyBorder="1"/>
    <xf numFmtId="0" fontId="22" fillId="0" borderId="0" xfId="39" applyFont="1" applyFill="1" applyBorder="1"/>
    <xf numFmtId="4" fontId="27" fillId="0" borderId="12" xfId="39" applyNumberFormat="1" applyFont="1" applyFill="1" applyBorder="1" applyProtection="1">
      <protection locked="0"/>
    </xf>
    <xf numFmtId="4" fontId="27" fillId="0" borderId="24" xfId="39" applyNumberFormat="1" applyFont="1" applyFill="1" applyBorder="1" applyProtection="1">
      <protection locked="0"/>
    </xf>
    <xf numFmtId="4" fontId="27" fillId="0" borderId="0" xfId="39" applyNumberFormat="1" applyFont="1" applyFill="1" applyBorder="1" applyProtection="1">
      <protection locked="0"/>
    </xf>
    <xf numFmtId="4" fontId="27" fillId="0" borderId="34" xfId="39" applyNumberFormat="1" applyFont="1" applyFill="1" applyBorder="1" applyAlignment="1" applyProtection="1"/>
    <xf numFmtId="0" fontId="14" fillId="0" borderId="16" xfId="39" applyFont="1" applyFill="1" applyBorder="1"/>
    <xf numFmtId="4" fontId="27" fillId="0" borderId="16" xfId="39" applyNumberFormat="1" applyFont="1" applyFill="1" applyBorder="1" applyAlignment="1" applyProtection="1"/>
    <xf numFmtId="0" fontId="19" fillId="0" borderId="28" xfId="37" applyFont="1" applyBorder="1" applyAlignment="1">
      <alignment horizontal="left"/>
    </xf>
    <xf numFmtId="0" fontId="21" fillId="4" borderId="16" xfId="39" applyFont="1" applyFill="1" applyBorder="1" applyAlignment="1">
      <alignment horizontal="left"/>
    </xf>
    <xf numFmtId="0" fontId="21" fillId="4" borderId="16" xfId="39" applyFont="1" applyFill="1" applyBorder="1"/>
    <xf numFmtId="4" fontId="25" fillId="0" borderId="17" xfId="39" applyNumberFormat="1" applyFont="1" applyFill="1" applyBorder="1" applyAlignment="1" applyProtection="1"/>
    <xf numFmtId="4" fontId="25" fillId="0" borderId="32" xfId="39" applyNumberFormat="1" applyFont="1" applyFill="1" applyBorder="1" applyAlignment="1" applyProtection="1"/>
    <xf numFmtId="0" fontId="19" fillId="0" borderId="19" xfId="39" applyFont="1" applyFill="1" applyBorder="1" applyAlignment="1">
      <alignment horizontal="left"/>
    </xf>
    <xf numFmtId="0" fontId="21" fillId="20" borderId="16" xfId="39" applyFont="1" applyFill="1" applyBorder="1" applyAlignment="1">
      <alignment horizontal="left"/>
    </xf>
    <xf numFmtId="0" fontId="21" fillId="20" borderId="16" xfId="39" applyFont="1" applyFill="1" applyBorder="1"/>
    <xf numFmtId="0" fontId="14" fillId="0" borderId="12" xfId="39" applyFont="1" applyFill="1" applyBorder="1"/>
    <xf numFmtId="4" fontId="27" fillId="0" borderId="13" xfId="39" applyNumberFormat="1" applyFont="1" applyFill="1" applyBorder="1" applyAlignment="1" applyProtection="1">
      <protection locked="0"/>
    </xf>
    <xf numFmtId="4" fontId="27" fillId="0" borderId="25" xfId="39" applyNumberFormat="1" applyFont="1" applyFill="1" applyBorder="1" applyAlignment="1" applyProtection="1"/>
    <xf numFmtId="0" fontId="14" fillId="0" borderId="0" xfId="39" applyFont="1" applyFill="1" applyBorder="1" applyAlignment="1"/>
    <xf numFmtId="0" fontId="20" fillId="0" borderId="15" xfId="39" applyFont="1" applyFill="1" applyBorder="1" applyAlignment="1">
      <alignment horizontal="left"/>
    </xf>
    <xf numFmtId="0" fontId="22" fillId="0" borderId="16" xfId="39" applyFont="1" applyFill="1" applyBorder="1" applyAlignment="1">
      <alignment horizontal="left"/>
    </xf>
    <xf numFmtId="0" fontId="22" fillId="0" borderId="16" xfId="39" applyFont="1" applyFill="1" applyBorder="1"/>
    <xf numFmtId="4" fontId="27" fillId="0" borderId="13" xfId="39" applyNumberFormat="1" applyFont="1" applyFill="1" applyBorder="1" applyAlignment="1" applyProtection="1"/>
    <xf numFmtId="4" fontId="27" fillId="0" borderId="24" xfId="39" applyNumberFormat="1" applyFont="1" applyFill="1" applyBorder="1" applyAlignment="1" applyProtection="1"/>
    <xf numFmtId="4" fontId="27" fillId="0" borderId="17" xfId="39" applyNumberFormat="1" applyFont="1" applyFill="1" applyBorder="1" applyAlignment="1" applyProtection="1">
      <protection locked="0"/>
    </xf>
    <xf numFmtId="0" fontId="21" fillId="8" borderId="16" xfId="37" applyFont="1" applyFill="1" applyBorder="1" applyAlignment="1">
      <alignment horizontal="left"/>
    </xf>
    <xf numFmtId="0" fontId="14" fillId="8" borderId="16" xfId="37" applyFont="1" applyFill="1" applyBorder="1"/>
    <xf numFmtId="4" fontId="26" fillId="0" borderId="31" xfId="37" applyNumberFormat="1" applyFont="1" applyFill="1" applyBorder="1"/>
    <xf numFmtId="4" fontId="26" fillId="0" borderId="18" xfId="37" applyNumberFormat="1" applyFont="1" applyFill="1" applyBorder="1"/>
    <xf numFmtId="0" fontId="21" fillId="4" borderId="20" xfId="37" applyFont="1" applyFill="1" applyBorder="1" applyAlignment="1">
      <alignment horizontal="left"/>
    </xf>
    <xf numFmtId="0" fontId="14" fillId="4" borderId="20" xfId="37" applyFont="1" applyFill="1" applyBorder="1"/>
    <xf numFmtId="4" fontId="26" fillId="0" borderId="35" xfId="37" applyNumberFormat="1" applyFont="1" applyBorder="1"/>
    <xf numFmtId="4" fontId="26" fillId="0" borderId="36" xfId="37" applyNumberFormat="1" applyFont="1" applyBorder="1"/>
    <xf numFmtId="4" fontId="26" fillId="0" borderId="23" xfId="37" applyNumberFormat="1" applyFont="1" applyBorder="1"/>
    <xf numFmtId="0" fontId="14" fillId="20" borderId="0" xfId="39" applyFont="1" applyFill="1" applyBorder="1"/>
    <xf numFmtId="0" fontId="14" fillId="20" borderId="0" xfId="39" applyFont="1" applyFill="1" applyBorder="1" applyAlignment="1"/>
    <xf numFmtId="49" fontId="19" fillId="0" borderId="28" xfId="39" applyNumberFormat="1" applyFont="1" applyFill="1" applyBorder="1" applyAlignment="1">
      <alignment horizontal="left"/>
    </xf>
    <xf numFmtId="0" fontId="14" fillId="0" borderId="0" xfId="37" applyFont="1" applyFill="1" applyBorder="1" applyAlignment="1">
      <alignment horizontal="left"/>
    </xf>
    <xf numFmtId="4" fontId="26" fillId="0" borderId="25" xfId="37" applyNumberFormat="1" applyFont="1" applyBorder="1"/>
    <xf numFmtId="4" fontId="27" fillId="0" borderId="26" xfId="39" applyNumberFormat="1" applyFont="1" applyFill="1" applyBorder="1" applyProtection="1"/>
    <xf numFmtId="0" fontId="14" fillId="20" borderId="0" xfId="37" applyFont="1" applyFill="1" applyBorder="1" applyAlignment="1">
      <alignment horizontal="left"/>
    </xf>
    <xf numFmtId="4" fontId="25" fillId="0" borderId="26" xfId="39" applyNumberFormat="1" applyFont="1" applyFill="1" applyBorder="1" applyProtection="1"/>
    <xf numFmtId="0" fontId="19" fillId="0" borderId="28" xfId="37" applyFont="1" applyFill="1" applyBorder="1" applyAlignment="1">
      <alignment horizontal="left"/>
    </xf>
    <xf numFmtId="4" fontId="27" fillId="0" borderId="26" xfId="37" applyNumberFormat="1" applyFont="1" applyBorder="1" applyProtection="1"/>
    <xf numFmtId="0" fontId="14" fillId="20" borderId="16" xfId="39" applyFont="1" applyFill="1" applyBorder="1"/>
    <xf numFmtId="4" fontId="27" fillId="0" borderId="32" xfId="39" applyNumberFormat="1" applyFont="1" applyFill="1" applyBorder="1" applyProtection="1">
      <protection locked="0"/>
    </xf>
    <xf numFmtId="0" fontId="21" fillId="8" borderId="20" xfId="39" applyFont="1" applyFill="1" applyBorder="1" applyAlignment="1">
      <alignment horizontal="left"/>
    </xf>
    <xf numFmtId="0" fontId="14" fillId="8" borderId="20" xfId="39" applyFont="1" applyFill="1" applyBorder="1"/>
    <xf numFmtId="4" fontId="26" fillId="0" borderId="21" xfId="37" applyNumberFormat="1" applyFont="1" applyFill="1" applyBorder="1"/>
    <xf numFmtId="4" fontId="26" fillId="0" borderId="23" xfId="37" applyNumberFormat="1" applyFont="1" applyFill="1" applyBorder="1"/>
    <xf numFmtId="4" fontId="26" fillId="0" borderId="0" xfId="37" applyNumberFormat="1" applyFont="1"/>
    <xf numFmtId="4" fontId="26" fillId="0" borderId="21" xfId="37" applyNumberFormat="1" applyFont="1" applyBorder="1"/>
    <xf numFmtId="49" fontId="19" fillId="0" borderId="11" xfId="39" applyNumberFormat="1" applyFont="1" applyFill="1" applyBorder="1" applyAlignment="1">
      <alignment horizontal="left"/>
    </xf>
    <xf numFmtId="49" fontId="14" fillId="0" borderId="12" xfId="39" applyNumberFormat="1" applyFont="1" applyFill="1" applyBorder="1" applyAlignment="1">
      <alignment horizontal="left"/>
    </xf>
    <xf numFmtId="0" fontId="14" fillId="20" borderId="0" xfId="39" applyFont="1" applyFill="1" applyBorder="1" applyAlignment="1">
      <alignment horizontal="left"/>
    </xf>
    <xf numFmtId="4" fontId="27" fillId="0" borderId="24" xfId="37" applyNumberFormat="1" applyFont="1" applyFill="1" applyBorder="1" applyProtection="1">
      <protection locked="0"/>
    </xf>
    <xf numFmtId="49" fontId="19" fillId="0" borderId="15" xfId="39" applyNumberFormat="1" applyFont="1" applyFill="1" applyBorder="1" applyAlignment="1">
      <alignment horizontal="left"/>
    </xf>
    <xf numFmtId="49" fontId="14" fillId="0" borderId="16" xfId="39" applyNumberFormat="1" applyFont="1" applyFill="1" applyBorder="1" applyAlignment="1">
      <alignment horizontal="left"/>
    </xf>
    <xf numFmtId="0" fontId="14" fillId="20" borderId="16" xfId="39" applyFont="1" applyFill="1" applyBorder="1" applyAlignment="1">
      <alignment horizontal="left"/>
    </xf>
    <xf numFmtId="4" fontId="26" fillId="0" borderId="17" xfId="37" applyNumberFormat="1" applyFont="1" applyBorder="1"/>
    <xf numFmtId="4" fontId="27" fillId="0" borderId="32" xfId="37" applyNumberFormat="1" applyFont="1" applyBorder="1" applyProtection="1">
      <protection locked="0"/>
    </xf>
    <xf numFmtId="0" fontId="24" fillId="0" borderId="19" xfId="37" applyFont="1" applyBorder="1" applyAlignment="1">
      <alignment horizontal="left"/>
    </xf>
    <xf numFmtId="0" fontId="14" fillId="4" borderId="20" xfId="39" applyFont="1" applyFill="1" applyBorder="1"/>
    <xf numFmtId="4" fontId="27" fillId="0" borderId="22" xfId="37" applyNumberFormat="1" applyFont="1" applyFill="1" applyBorder="1" applyProtection="1">
      <protection locked="0"/>
    </xf>
    <xf numFmtId="4" fontId="26" fillId="0" borderId="17" xfId="37" applyNumberFormat="1" applyFont="1" applyFill="1" applyBorder="1"/>
    <xf numFmtId="4" fontId="27" fillId="0" borderId="32" xfId="37" applyNumberFormat="1" applyFont="1" applyFill="1" applyBorder="1" applyProtection="1">
      <protection locked="0"/>
    </xf>
    <xf numFmtId="0" fontId="14" fillId="21" borderId="0" xfId="37" applyFont="1" applyFill="1" applyBorder="1" applyAlignment="1">
      <alignment horizontal="left"/>
    </xf>
    <xf numFmtId="0" fontId="14" fillId="21" borderId="0" xfId="37" applyFont="1" applyFill="1" applyBorder="1"/>
    <xf numFmtId="4" fontId="26" fillId="21" borderId="21" xfId="37" applyNumberFormat="1" applyFont="1" applyFill="1" applyBorder="1"/>
    <xf numFmtId="4" fontId="27" fillId="21" borderId="22" xfId="37" applyNumberFormat="1" applyFont="1" applyFill="1" applyBorder="1"/>
    <xf numFmtId="49" fontId="21" fillId="0" borderId="19" xfId="38" applyNumberFormat="1" applyFont="1" applyFill="1" applyBorder="1" applyAlignment="1">
      <alignment horizontal="left"/>
    </xf>
    <xf numFmtId="0" fontId="21" fillId="0" borderId="20" xfId="39" applyFont="1" applyFill="1" applyBorder="1" applyAlignment="1">
      <alignment horizontal="left"/>
    </xf>
    <xf numFmtId="0" fontId="21" fillId="0" borderId="20" xfId="39" applyFont="1" applyFill="1" applyBorder="1"/>
    <xf numFmtId="4" fontId="27" fillId="0" borderId="35" xfId="37" applyNumberFormat="1" applyFont="1" applyBorder="1" applyAlignment="1" applyProtection="1"/>
    <xf numFmtId="4" fontId="27" fillId="0" borderId="36" xfId="37" applyNumberFormat="1" applyFont="1" applyBorder="1" applyAlignment="1" applyProtection="1"/>
    <xf numFmtId="49" fontId="14" fillId="0" borderId="28" xfId="38" applyNumberFormat="1" applyFont="1" applyFill="1" applyBorder="1" applyAlignment="1">
      <alignment horizontal="left"/>
    </xf>
    <xf numFmtId="4" fontId="27" fillId="0" borderId="30" xfId="37" applyNumberFormat="1" applyFont="1" applyBorder="1" applyAlignment="1" applyProtection="1">
      <protection locked="0"/>
    </xf>
    <xf numFmtId="4" fontId="27" fillId="0" borderId="10" xfId="37" applyNumberFormat="1" applyFont="1" applyBorder="1" applyProtection="1">
      <protection locked="0"/>
    </xf>
    <xf numFmtId="4" fontId="27" fillId="0" borderId="27" xfId="37" applyNumberFormat="1" applyFont="1" applyBorder="1" applyProtection="1">
      <protection locked="0"/>
    </xf>
    <xf numFmtId="0" fontId="22" fillId="0" borderId="0" xfId="39" applyFont="1" applyFill="1" applyBorder="1" applyAlignment="1">
      <alignment horizontal="left"/>
    </xf>
    <xf numFmtId="4" fontId="27" fillId="21" borderId="10" xfId="37" applyNumberFormat="1" applyFont="1" applyFill="1" applyBorder="1" applyProtection="1">
      <protection locked="0"/>
    </xf>
    <xf numFmtId="4" fontId="27" fillId="0" borderId="30" xfId="37" applyNumberFormat="1" applyFont="1" applyBorder="1" applyAlignment="1" applyProtection="1"/>
    <xf numFmtId="4" fontId="27" fillId="0" borderId="26" xfId="37" applyNumberFormat="1" applyFont="1" applyBorder="1" applyAlignment="1" applyProtection="1"/>
    <xf numFmtId="0" fontId="30" fillId="0" borderId="16" xfId="39" applyFont="1" applyFill="1" applyBorder="1"/>
    <xf numFmtId="4" fontId="27" fillId="0" borderId="31" xfId="37" applyNumberFormat="1" applyFont="1" applyBorder="1" applyProtection="1">
      <protection locked="0"/>
    </xf>
    <xf numFmtId="4" fontId="27" fillId="0" borderId="18" xfId="37" applyNumberFormat="1" applyFont="1" applyBorder="1" applyProtection="1">
      <protection locked="0"/>
    </xf>
    <xf numFmtId="4" fontId="25" fillId="0" borderId="35" xfId="39" applyNumberFormat="1" applyFont="1" applyFill="1" applyBorder="1" applyAlignment="1" applyProtection="1">
      <protection locked="0"/>
    </xf>
    <xf numFmtId="4" fontId="25" fillId="0" borderId="36" xfId="39" applyNumberFormat="1" applyFont="1" applyFill="1" applyBorder="1" applyProtection="1">
      <protection locked="0"/>
    </xf>
    <xf numFmtId="0" fontId="14" fillId="0" borderId="20" xfId="37" applyFont="1" applyBorder="1"/>
    <xf numFmtId="4" fontId="27" fillId="0" borderId="36" xfId="37" applyNumberFormat="1" applyFont="1" applyBorder="1" applyProtection="1"/>
    <xf numFmtId="0" fontId="14" fillId="0" borderId="0" xfId="37" applyFont="1" applyBorder="1"/>
    <xf numFmtId="0" fontId="30" fillId="0" borderId="16" xfId="37" applyFont="1" applyBorder="1"/>
    <xf numFmtId="4" fontId="27" fillId="0" borderId="22" xfId="37" applyNumberFormat="1" applyFont="1" applyBorder="1" applyAlignment="1" applyProtection="1"/>
    <xf numFmtId="4" fontId="26" fillId="0" borderId="30" xfId="37" applyNumberFormat="1" applyFont="1" applyBorder="1" applyAlignment="1" applyProtection="1"/>
    <xf numFmtId="4" fontId="26" fillId="0" borderId="10" xfId="37" applyNumberFormat="1" applyFont="1" applyBorder="1" applyAlignment="1" applyProtection="1"/>
    <xf numFmtId="0" fontId="14" fillId="0" borderId="28" xfId="38" applyFont="1" applyFill="1" applyBorder="1" applyAlignment="1">
      <alignment horizontal="left"/>
    </xf>
    <xf numFmtId="4" fontId="27" fillId="0" borderId="30" xfId="37" applyNumberFormat="1" applyFont="1" applyBorder="1" applyProtection="1">
      <protection locked="0"/>
    </xf>
    <xf numFmtId="0" fontId="14" fillId="0" borderId="0" xfId="37" applyFont="1" applyBorder="1" applyAlignment="1">
      <alignment horizontal="left"/>
    </xf>
    <xf numFmtId="0" fontId="31" fillId="0" borderId="0" xfId="37" applyFont="1" applyBorder="1"/>
    <xf numFmtId="0" fontId="14" fillId="0" borderId="15" xfId="38" applyFont="1" applyFill="1" applyBorder="1" applyAlignment="1">
      <alignment horizontal="left"/>
    </xf>
    <xf numFmtId="0" fontId="14" fillId="0" borderId="16" xfId="37" applyFont="1" applyBorder="1"/>
    <xf numFmtId="0" fontId="22" fillId="0" borderId="0" xfId="37" applyFont="1" applyBorder="1"/>
    <xf numFmtId="0" fontId="22" fillId="0" borderId="0" xfId="37" applyFont="1" applyBorder="1" applyAlignment="1">
      <alignment horizontal="left"/>
    </xf>
    <xf numFmtId="4" fontId="27" fillId="0" borderId="31" xfId="37" applyNumberFormat="1" applyFont="1" applyBorder="1" applyAlignment="1" applyProtection="1">
      <protection locked="0"/>
    </xf>
    <xf numFmtId="0" fontId="26" fillId="0" borderId="0" xfId="37" applyFont="1" applyBorder="1"/>
    <xf numFmtId="49" fontId="14" fillId="0" borderId="15" xfId="38" applyNumberFormat="1" applyFont="1" applyFill="1" applyBorder="1" applyAlignment="1">
      <alignment horizontal="left"/>
    </xf>
    <xf numFmtId="0" fontId="14" fillId="21" borderId="19" xfId="37" applyFont="1" applyFill="1" applyBorder="1" applyAlignment="1">
      <alignment horizontal="left"/>
    </xf>
    <xf numFmtId="0" fontId="14" fillId="21" borderId="20" xfId="39" applyFont="1" applyFill="1" applyBorder="1" applyAlignment="1">
      <alignment horizontal="left"/>
    </xf>
    <xf numFmtId="0" fontId="14" fillId="21" borderId="20" xfId="37" applyFont="1" applyFill="1" applyBorder="1"/>
    <xf numFmtId="4" fontId="27" fillId="21" borderId="21" xfId="37" applyNumberFormat="1" applyFont="1" applyFill="1" applyBorder="1" applyAlignment="1" applyProtection="1">
      <protection locked="0"/>
    </xf>
    <xf numFmtId="4" fontId="27" fillId="21" borderId="36" xfId="37" applyNumberFormat="1" applyFont="1" applyFill="1" applyBorder="1" applyProtection="1">
      <protection locked="0"/>
    </xf>
    <xf numFmtId="0" fontId="21" fillId="0" borderId="20" xfId="39" applyFont="1" applyBorder="1"/>
    <xf numFmtId="4" fontId="32" fillId="0" borderId="21" xfId="39" applyNumberFormat="1" applyFont="1" applyFill="1" applyBorder="1" applyAlignment="1" applyProtection="1">
      <alignment wrapText="1"/>
      <protection locked="0"/>
    </xf>
    <xf numFmtId="4" fontId="32" fillId="0" borderId="22" xfId="39" applyNumberFormat="1" applyFont="1" applyFill="1" applyBorder="1" applyAlignment="1" applyProtection="1">
      <alignment wrapText="1"/>
      <protection locked="0"/>
    </xf>
    <xf numFmtId="0" fontId="14" fillId="0" borderId="28" xfId="37" applyFont="1" applyBorder="1" applyAlignment="1">
      <alignment horizontal="left"/>
    </xf>
    <xf numFmtId="0" fontId="22" fillId="0" borderId="12" xfId="39" applyFont="1" applyBorder="1"/>
    <xf numFmtId="164" fontId="14" fillId="0" borderId="12" xfId="39" applyNumberFormat="1" applyFont="1" applyFill="1" applyBorder="1"/>
    <xf numFmtId="0" fontId="22" fillId="0" borderId="0" xfId="39" applyFont="1" applyBorder="1"/>
    <xf numFmtId="164" fontId="14" fillId="0" borderId="0" xfId="39" applyNumberFormat="1" applyFont="1" applyFill="1" applyBorder="1"/>
    <xf numFmtId="0" fontId="14" fillId="0" borderId="15" xfId="37" applyFont="1" applyBorder="1" applyAlignment="1">
      <alignment horizontal="left"/>
    </xf>
    <xf numFmtId="0" fontId="14" fillId="0" borderId="16" xfId="39" applyFont="1" applyBorder="1"/>
    <xf numFmtId="164" fontId="14" fillId="0" borderId="16" xfId="39" applyNumberFormat="1" applyFont="1" applyFill="1" applyBorder="1"/>
    <xf numFmtId="4" fontId="27" fillId="0" borderId="17" xfId="39" applyNumberFormat="1" applyFont="1" applyFill="1" applyBorder="1" applyAlignment="1" applyProtection="1"/>
    <xf numFmtId="4" fontId="27" fillId="0" borderId="32" xfId="39" applyNumberFormat="1" applyFont="1" applyFill="1" applyBorder="1" applyProtection="1"/>
    <xf numFmtId="49" fontId="14" fillId="0" borderId="0" xfId="37" applyNumberFormat="1" applyFont="1" applyBorder="1" applyAlignment="1">
      <alignment horizontal="left"/>
    </xf>
    <xf numFmtId="49" fontId="14" fillId="0" borderId="0" xfId="37" applyNumberFormat="1" applyFont="1" applyBorder="1"/>
    <xf numFmtId="14" fontId="26" fillId="0" borderId="0" xfId="37" applyNumberFormat="1" applyFont="1"/>
    <xf numFmtId="0" fontId="21" fillId="0" borderId="0" xfId="37" applyFont="1"/>
    <xf numFmtId="49" fontId="33" fillId="0" borderId="0" xfId="37" applyNumberFormat="1" applyFont="1" applyBorder="1"/>
    <xf numFmtId="3" fontId="34" fillId="0" borderId="0" xfId="0" applyNumberFormat="1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4" fontId="19" fillId="0" borderId="0" xfId="37" applyNumberFormat="1" applyFont="1"/>
    <xf numFmtId="0" fontId="19" fillId="0" borderId="0" xfId="0" applyFont="1" applyProtection="1"/>
    <xf numFmtId="4" fontId="19" fillId="0" borderId="0" xfId="0" applyNumberFormat="1" applyFont="1" applyBorder="1" applyProtection="1"/>
    <xf numFmtId="0" fontId="14" fillId="0" borderId="0" xfId="0" applyFont="1"/>
    <xf numFmtId="4" fontId="19" fillId="0" borderId="0" xfId="0" applyNumberFormat="1" applyFont="1" applyProtection="1"/>
    <xf numFmtId="4" fontId="26" fillId="0" borderId="0" xfId="0" applyNumberFormat="1" applyFont="1" applyProtection="1"/>
    <xf numFmtId="0" fontId="19" fillId="0" borderId="0" xfId="0" applyFont="1" applyBorder="1"/>
    <xf numFmtId="4" fontId="19" fillId="0" borderId="0" xfId="38" applyNumberFormat="1" applyFont="1" applyFill="1" applyBorder="1"/>
    <xf numFmtId="4" fontId="19" fillId="0" borderId="0" xfId="0" applyNumberFormat="1" applyFont="1" applyBorder="1" applyAlignment="1"/>
    <xf numFmtId="0" fontId="35" fillId="0" borderId="38" xfId="0" applyFont="1" applyBorder="1" applyAlignment="1">
      <alignment horizontal="left" vertical="center"/>
    </xf>
    <xf numFmtId="3" fontId="35" fillId="20" borderId="39" xfId="0" applyNumberFormat="1" applyFont="1" applyFill="1" applyBorder="1" applyAlignment="1">
      <alignment horizontal="right" wrapText="1"/>
    </xf>
    <xf numFmtId="0" fontId="26" fillId="0" borderId="40" xfId="0" applyFont="1" applyFill="1" applyBorder="1" applyAlignment="1">
      <alignment horizontal="left" vertical="center"/>
    </xf>
    <xf numFmtId="3" fontId="0" fillId="20" borderId="41" xfId="0" applyNumberFormat="1" applyFont="1" applyFill="1" applyBorder="1" applyAlignment="1">
      <alignment wrapText="1"/>
    </xf>
    <xf numFmtId="3" fontId="0" fillId="20" borderId="42" xfId="0" applyNumberFormat="1" applyFont="1" applyFill="1" applyBorder="1" applyAlignment="1">
      <alignment wrapText="1"/>
    </xf>
    <xf numFmtId="3" fontId="0" fillId="21" borderId="43" xfId="0" applyNumberFormat="1" applyFont="1" applyFill="1" applyBorder="1" applyAlignment="1">
      <alignment wrapText="1"/>
    </xf>
    <xf numFmtId="3" fontId="0" fillId="0" borderId="41" xfId="0" applyNumberFormat="1" applyFont="1" applyFill="1" applyBorder="1"/>
    <xf numFmtId="3" fontId="0" fillId="0" borderId="42" xfId="0" applyNumberFormat="1" applyFont="1" applyFill="1" applyBorder="1"/>
    <xf numFmtId="3" fontId="0" fillId="20" borderId="43" xfId="0" applyNumberFormat="1" applyFont="1" applyFill="1" applyBorder="1" applyAlignment="1">
      <alignment wrapText="1"/>
    </xf>
    <xf numFmtId="0" fontId="0" fillId="0" borderId="0" xfId="0" applyFill="1"/>
    <xf numFmtId="0" fontId="35" fillId="0" borderId="40" xfId="0" applyFont="1" applyFill="1" applyBorder="1" applyAlignment="1">
      <alignment horizontal="left" vertical="center"/>
    </xf>
    <xf numFmtId="3" fontId="35" fillId="20" borderId="43" xfId="0" applyNumberFormat="1" applyFont="1" applyFill="1" applyBorder="1" applyAlignment="1">
      <alignment wrapText="1"/>
    </xf>
    <xf numFmtId="3" fontId="35" fillId="20" borderId="41" xfId="0" applyNumberFormat="1" applyFont="1" applyFill="1" applyBorder="1" applyAlignment="1">
      <alignment wrapText="1"/>
    </xf>
    <xf numFmtId="3" fontId="35" fillId="20" borderId="42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3" fontId="0" fillId="0" borderId="42" xfId="0" applyNumberFormat="1" applyFont="1" applyFill="1" applyBorder="1" applyAlignment="1">
      <alignment wrapText="1"/>
    </xf>
    <xf numFmtId="3" fontId="0" fillId="6" borderId="41" xfId="0" applyNumberFormat="1" applyFont="1" applyFill="1" applyBorder="1"/>
    <xf numFmtId="0" fontId="35" fillId="0" borderId="28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wrapText="1"/>
    </xf>
    <xf numFmtId="0" fontId="26" fillId="0" borderId="40" xfId="0" applyFont="1" applyFill="1" applyBorder="1" applyAlignment="1">
      <alignment horizontal="left" wrapText="1"/>
    </xf>
    <xf numFmtId="3" fontId="0" fillId="0" borderId="0" xfId="0" applyNumberFormat="1" applyFill="1"/>
    <xf numFmtId="3" fontId="0" fillId="21" borderId="41" xfId="0" applyNumberFormat="1" applyFont="1" applyFill="1" applyBorder="1"/>
    <xf numFmtId="0" fontId="0" fillId="0" borderId="0" xfId="0" applyFont="1"/>
    <xf numFmtId="49" fontId="36" fillId="0" borderId="40" xfId="0" applyNumberFormat="1" applyFont="1" applyFill="1" applyBorder="1" applyAlignment="1">
      <alignment horizontal="left" wrapText="1"/>
    </xf>
    <xf numFmtId="0" fontId="27" fillId="0" borderId="40" xfId="0" applyFont="1" applyFill="1" applyBorder="1" applyAlignment="1">
      <alignment horizontal="left" wrapText="1"/>
    </xf>
    <xf numFmtId="0" fontId="26" fillId="0" borderId="40" xfId="38" applyFont="1" applyFill="1" applyBorder="1"/>
    <xf numFmtId="9" fontId="0" fillId="0" borderId="0" xfId="0" applyNumberFormat="1" applyFill="1"/>
    <xf numFmtId="0" fontId="26" fillId="0" borderId="28" xfId="0" applyFont="1" applyFill="1" applyBorder="1" applyAlignment="1">
      <alignment horizontal="left"/>
    </xf>
    <xf numFmtId="3" fontId="0" fillId="21" borderId="44" xfId="0" applyNumberFormat="1" applyFont="1" applyFill="1" applyBorder="1" applyAlignment="1">
      <alignment wrapText="1"/>
    </xf>
    <xf numFmtId="0" fontId="26" fillId="0" borderId="40" xfId="38" applyFont="1" applyFill="1" applyBorder="1" applyAlignment="1"/>
    <xf numFmtId="0" fontId="26" fillId="0" borderId="45" xfId="0" applyFont="1" applyFill="1" applyBorder="1" applyAlignment="1">
      <alignment horizontal="left" wrapText="1"/>
    </xf>
    <xf numFmtId="3" fontId="0" fillId="21" borderId="46" xfId="0" applyNumberFormat="1" applyFont="1" applyFill="1" applyBorder="1" applyAlignment="1">
      <alignment wrapText="1"/>
    </xf>
    <xf numFmtId="0" fontId="26" fillId="0" borderId="40" xfId="0" applyFont="1" applyFill="1" applyBorder="1"/>
    <xf numFmtId="0" fontId="35" fillId="0" borderId="40" xfId="0" applyFont="1" applyFill="1" applyBorder="1" applyAlignment="1">
      <alignment wrapText="1"/>
    </xf>
    <xf numFmtId="0" fontId="0" fillId="0" borderId="28" xfId="0" applyBorder="1"/>
    <xf numFmtId="0" fontId="0" fillId="21" borderId="43" xfId="0" applyFont="1" applyFill="1" applyBorder="1"/>
    <xf numFmtId="0" fontId="0" fillId="0" borderId="41" xfId="0" applyFont="1" applyFill="1" applyBorder="1"/>
    <xf numFmtId="0" fontId="0" fillId="0" borderId="42" xfId="0" applyFont="1" applyFill="1" applyBorder="1"/>
    <xf numFmtId="0" fontId="35" fillId="0" borderId="40" xfId="0" applyFont="1" applyFill="1" applyBorder="1" applyAlignment="1"/>
    <xf numFmtId="3" fontId="35" fillId="21" borderId="43" xfId="0" applyNumberFormat="1" applyFont="1" applyFill="1" applyBorder="1" applyAlignment="1">
      <alignment wrapText="1"/>
    </xf>
    <xf numFmtId="3" fontId="35" fillId="20" borderId="41" xfId="0" applyNumberFormat="1" applyFont="1" applyFill="1" applyBorder="1"/>
    <xf numFmtId="3" fontId="35" fillId="20" borderId="42" xfId="0" applyNumberFormat="1" applyFont="1" applyFill="1" applyBorder="1"/>
    <xf numFmtId="0" fontId="35" fillId="0" borderId="40" xfId="0" applyFont="1" applyFill="1" applyBorder="1" applyAlignment="1">
      <alignment vertical="top" wrapText="1"/>
    </xf>
    <xf numFmtId="3" fontId="0" fillId="21" borderId="43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top" wrapText="1"/>
    </xf>
    <xf numFmtId="3" fontId="0" fillId="21" borderId="44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/>
    <xf numFmtId="165" fontId="0" fillId="20" borderId="43" xfId="0" applyNumberFormat="1" applyFont="1" applyFill="1" applyBorder="1" applyAlignment="1">
      <alignment wrapText="1"/>
    </xf>
    <xf numFmtId="165" fontId="0" fillId="20" borderId="41" xfId="0" applyNumberFormat="1" applyFont="1" applyFill="1" applyBorder="1" applyAlignment="1">
      <alignment wrapText="1"/>
    </xf>
    <xf numFmtId="165" fontId="0" fillId="20" borderId="42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0" fontId="0" fillId="0" borderId="43" xfId="0" applyNumberFormat="1" applyFont="1" applyFill="1" applyBorder="1" applyAlignment="1">
      <alignment wrapText="1"/>
    </xf>
    <xf numFmtId="0" fontId="39" fillId="0" borderId="49" xfId="0" applyFont="1" applyFill="1" applyBorder="1" applyAlignment="1">
      <alignment wrapText="1"/>
    </xf>
    <xf numFmtId="3" fontId="39" fillId="20" borderId="50" xfId="0" applyNumberFormat="1" applyFont="1" applyFill="1" applyBorder="1" applyAlignment="1">
      <alignment wrapText="1"/>
    </xf>
    <xf numFmtId="0" fontId="39" fillId="0" borderId="0" xfId="0" applyFont="1"/>
    <xf numFmtId="0" fontId="35" fillId="0" borderId="0" xfId="0" applyFont="1"/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3" fontId="26" fillId="0" borderId="41" xfId="0" applyNumberFormat="1" applyFont="1" applyFill="1" applyBorder="1" applyAlignment="1">
      <alignment horizontal="center" wrapText="1"/>
    </xf>
    <xf numFmtId="9" fontId="26" fillId="0" borderId="41" xfId="0" applyNumberFormat="1" applyFont="1" applyFill="1" applyBorder="1" applyAlignment="1">
      <alignment wrapText="1"/>
    </xf>
    <xf numFmtId="4" fontId="26" fillId="0" borderId="41" xfId="0" applyNumberFormat="1" applyFont="1" applyFill="1" applyBorder="1" applyAlignment="1">
      <alignment wrapText="1"/>
    </xf>
    <xf numFmtId="0" fontId="35" fillId="4" borderId="37" xfId="0" applyNumberFormat="1" applyFont="1" applyFill="1" applyBorder="1" applyAlignment="1">
      <alignment horizontal="left" wrapText="1"/>
    </xf>
    <xf numFmtId="0" fontId="35" fillId="4" borderId="35" xfId="0" applyNumberFormat="1" applyFont="1" applyFill="1" applyBorder="1" applyAlignment="1">
      <alignment horizontal="center" wrapText="1"/>
    </xf>
    <xf numFmtId="3" fontId="35" fillId="21" borderId="41" xfId="0" applyNumberFormat="1" applyFont="1" applyFill="1" applyBorder="1"/>
    <xf numFmtId="0" fontId="36" fillId="0" borderId="40" xfId="0" applyFont="1" applyFill="1" applyBorder="1" applyAlignment="1">
      <alignment wrapText="1"/>
    </xf>
    <xf numFmtId="3" fontId="0" fillId="0" borderId="41" xfId="0" applyNumberFormat="1" applyFont="1" applyBorder="1"/>
    <xf numFmtId="3" fontId="0" fillId="21" borderId="50" xfId="0" applyNumberFormat="1" applyFont="1" applyFill="1" applyBorder="1"/>
    <xf numFmtId="0" fontId="40" fillId="0" borderId="52" xfId="0" applyFont="1" applyFill="1" applyBorder="1" applyAlignment="1"/>
    <xf numFmtId="0" fontId="35" fillId="4" borderId="38" xfId="0" applyFont="1" applyFill="1" applyBorder="1" applyAlignment="1">
      <alignment wrapText="1"/>
    </xf>
    <xf numFmtId="0" fontId="35" fillId="0" borderId="40" xfId="39" applyFont="1" applyFill="1" applyBorder="1"/>
    <xf numFmtId="0" fontId="0" fillId="0" borderId="40" xfId="39" applyFont="1" applyFill="1" applyBorder="1"/>
    <xf numFmtId="3" fontId="0" fillId="0" borderId="41" xfId="0" applyNumberFormat="1" applyFont="1" applyFill="1" applyBorder="1" applyAlignment="1">
      <alignment wrapText="1"/>
    </xf>
    <xf numFmtId="0" fontId="0" fillId="0" borderId="49" xfId="39" applyFont="1" applyFill="1" applyBorder="1"/>
    <xf numFmtId="3" fontId="0" fillId="20" borderId="50" xfId="0" applyNumberFormat="1" applyFont="1" applyFill="1" applyBorder="1" applyAlignment="1">
      <alignment wrapText="1"/>
    </xf>
    <xf numFmtId="3" fontId="0" fillId="20" borderId="51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35" fillId="0" borderId="40" xfId="0" applyFont="1" applyBorder="1" applyAlignment="1">
      <alignment horizontal="left" vertical="center"/>
    </xf>
    <xf numFmtId="3" fontId="35" fillId="0" borderId="41" xfId="0" applyNumberFormat="1" applyFont="1" applyFill="1" applyBorder="1" applyAlignment="1">
      <alignment horizontal="right" wrapText="1"/>
    </xf>
    <xf numFmtId="3" fontId="35" fillId="0" borderId="42" xfId="0" applyNumberFormat="1" applyFont="1" applyFill="1" applyBorder="1" applyAlignment="1">
      <alignment horizontal="right" wrapText="1"/>
    </xf>
    <xf numFmtId="0" fontId="36" fillId="6" borderId="41" xfId="0" applyFont="1" applyFill="1" applyBorder="1" applyAlignment="1">
      <alignment horizontal="left" vertical="center"/>
    </xf>
    <xf numFmtId="3" fontId="0" fillId="6" borderId="41" xfId="0" applyNumberFormat="1" applyFont="1" applyFill="1" applyBorder="1" applyAlignment="1">
      <alignment horizontal="right" wrapText="1"/>
    </xf>
    <xf numFmtId="3" fontId="0" fillId="6" borderId="42" xfId="0" applyNumberFormat="1" applyFont="1" applyFill="1" applyBorder="1" applyAlignment="1">
      <alignment horizontal="right" wrapText="1"/>
    </xf>
    <xf numFmtId="3" fontId="35" fillId="0" borderId="41" xfId="0" applyNumberFormat="1" applyFont="1" applyFill="1" applyBorder="1" applyAlignment="1">
      <alignment wrapText="1"/>
    </xf>
    <xf numFmtId="3" fontId="35" fillId="0" borderId="42" xfId="0" applyNumberFormat="1" applyFont="1" applyFill="1" applyBorder="1" applyAlignment="1">
      <alignment wrapText="1"/>
    </xf>
    <xf numFmtId="0" fontId="26" fillId="0" borderId="52" xfId="0" applyFont="1" applyFill="1" applyBorder="1" applyAlignment="1">
      <alignment horizontal="left" vertical="center"/>
    </xf>
    <xf numFmtId="3" fontId="35" fillId="0" borderId="53" xfId="0" applyNumberFormat="1" applyFont="1" applyFill="1" applyBorder="1" applyAlignment="1">
      <alignment wrapText="1"/>
    </xf>
    <xf numFmtId="3" fontId="35" fillId="0" borderId="54" xfId="0" applyNumberFormat="1" applyFont="1" applyFill="1" applyBorder="1" applyAlignment="1">
      <alignment wrapText="1"/>
    </xf>
    <xf numFmtId="0" fontId="26" fillId="0" borderId="41" xfId="0" applyFont="1" applyFill="1" applyBorder="1" applyAlignment="1">
      <alignment horizontal="left" vertical="center"/>
    </xf>
    <xf numFmtId="3" fontId="0" fillId="0" borderId="53" xfId="0" applyNumberFormat="1" applyFont="1" applyFill="1" applyBorder="1" applyAlignment="1">
      <alignment wrapText="1"/>
    </xf>
    <xf numFmtId="3" fontId="0" fillId="0" borderId="54" xfId="0" applyNumberFormat="1" applyFont="1" applyFill="1" applyBorder="1" applyAlignment="1">
      <alignment wrapText="1"/>
    </xf>
    <xf numFmtId="3" fontId="0" fillId="6" borderId="41" xfId="0" applyNumberFormat="1" applyFont="1" applyFill="1" applyBorder="1" applyAlignment="1">
      <alignment wrapText="1"/>
    </xf>
    <xf numFmtId="3" fontId="0" fillId="6" borderId="53" xfId="0" applyNumberFormat="1" applyFont="1" applyFill="1" applyBorder="1" applyAlignment="1">
      <alignment wrapText="1"/>
    </xf>
    <xf numFmtId="3" fontId="0" fillId="6" borderId="54" xfId="0" applyNumberFormat="1" applyFont="1" applyFill="1" applyBorder="1" applyAlignment="1">
      <alignment wrapText="1"/>
    </xf>
    <xf numFmtId="0" fontId="35" fillId="0" borderId="41" xfId="0" applyFont="1" applyFill="1" applyBorder="1" applyAlignment="1">
      <alignment horizontal="left" vertical="center"/>
    </xf>
    <xf numFmtId="0" fontId="41" fillId="0" borderId="0" xfId="0" applyFont="1"/>
    <xf numFmtId="0" fontId="0" fillId="0" borderId="28" xfId="0" applyFont="1" applyBorder="1"/>
    <xf numFmtId="3" fontId="0" fillId="0" borderId="41" xfId="0" applyNumberFormat="1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top" wrapText="1"/>
    </xf>
    <xf numFmtId="3" fontId="0" fillId="0" borderId="55" xfId="0" applyNumberFormat="1" applyFont="1" applyFill="1" applyBorder="1"/>
    <xf numFmtId="0" fontId="26" fillId="6" borderId="40" xfId="0" applyFont="1" applyFill="1" applyBorder="1" applyAlignment="1">
      <alignment vertical="top" wrapText="1"/>
    </xf>
    <xf numFmtId="3" fontId="0" fillId="6" borderId="41" xfId="0" applyNumberFormat="1" applyFont="1" applyFill="1" applyBorder="1" applyAlignment="1">
      <alignment horizontal="right" vertical="center"/>
    </xf>
    <xf numFmtId="3" fontId="0" fillId="6" borderId="55" xfId="0" applyNumberFormat="1" applyFont="1" applyFill="1" applyBorder="1"/>
    <xf numFmtId="3" fontId="0" fillId="6" borderId="48" xfId="0" applyNumberFormat="1" applyFont="1" applyFill="1" applyBorder="1"/>
    <xf numFmtId="0" fontId="35" fillId="0" borderId="49" xfId="0" applyFont="1" applyFill="1" applyBorder="1" applyAlignment="1">
      <alignment wrapText="1"/>
    </xf>
    <xf numFmtId="165" fontId="0" fillId="20" borderId="50" xfId="0" applyNumberFormat="1" applyFont="1" applyFill="1" applyBorder="1" applyAlignment="1">
      <alignment wrapText="1"/>
    </xf>
    <xf numFmtId="165" fontId="0" fillId="20" borderId="51" xfId="0" applyNumberFormat="1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3" fontId="35" fillId="6" borderId="41" xfId="0" applyNumberFormat="1" applyFont="1" applyFill="1" applyBorder="1" applyAlignment="1">
      <alignment horizontal="right" wrapText="1"/>
    </xf>
    <xf numFmtId="3" fontId="35" fillId="6" borderId="42" xfId="0" applyNumberFormat="1" applyFont="1" applyFill="1" applyBorder="1" applyAlignment="1">
      <alignment horizontal="right" wrapText="1"/>
    </xf>
    <xf numFmtId="0" fontId="35" fillId="0" borderId="41" xfId="0" applyFont="1" applyFill="1" applyBorder="1" applyAlignment="1">
      <alignment horizontal="left" wrapText="1"/>
    </xf>
    <xf numFmtId="3" fontId="0" fillId="0" borderId="5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3" fontId="35" fillId="20" borderId="41" xfId="0" applyNumberFormat="1" applyFont="1" applyFill="1" applyBorder="1" applyAlignment="1">
      <alignment horizontal="right" wrapText="1"/>
    </xf>
    <xf numFmtId="3" fontId="35" fillId="20" borderId="42" xfId="0" applyNumberFormat="1" applyFont="1" applyFill="1" applyBorder="1" applyAlignment="1">
      <alignment horizontal="right" wrapText="1"/>
    </xf>
    <xf numFmtId="3" fontId="0" fillId="20" borderId="41" xfId="0" applyNumberFormat="1" applyFont="1" applyFill="1" applyBorder="1" applyAlignment="1">
      <alignment horizontal="right" wrapText="1"/>
    </xf>
    <xf numFmtId="3" fontId="0" fillId="20" borderId="42" xfId="0" applyNumberFormat="1" applyFont="1" applyFill="1" applyBorder="1" applyAlignment="1">
      <alignment horizontal="right" wrapText="1"/>
    </xf>
    <xf numFmtId="0" fontId="0" fillId="20" borderId="41" xfId="0" applyFont="1" applyFill="1" applyBorder="1"/>
    <xf numFmtId="0" fontId="0" fillId="20" borderId="42" xfId="0" applyFont="1" applyFill="1" applyBorder="1"/>
    <xf numFmtId="0" fontId="0" fillId="20" borderId="41" xfId="0" applyFont="1" applyFill="1" applyBorder="1" applyAlignment="1">
      <alignment wrapText="1"/>
    </xf>
    <xf numFmtId="0" fontId="0" fillId="0" borderId="40" xfId="0" applyBorder="1"/>
    <xf numFmtId="0" fontId="0" fillId="20" borderId="41" xfId="0" applyFill="1" applyBorder="1"/>
    <xf numFmtId="3" fontId="0" fillId="0" borderId="0" xfId="0" applyNumberFormat="1"/>
    <xf numFmtId="4" fontId="25" fillId="25" borderId="56" xfId="39" applyNumberFormat="1" applyFont="1" applyFill="1" applyBorder="1" applyAlignment="1" applyProtection="1"/>
    <xf numFmtId="4" fontId="25" fillId="0" borderId="57" xfId="39" applyNumberFormat="1" applyFont="1" applyFill="1" applyBorder="1" applyAlignment="1" applyProtection="1"/>
    <xf numFmtId="4" fontId="27" fillId="0" borderId="58" xfId="38" applyNumberFormat="1" applyFont="1" applyFill="1" applyBorder="1" applyProtection="1">
      <protection locked="0"/>
    </xf>
    <xf numFmtId="4" fontId="27" fillId="0" borderId="58" xfId="39" applyNumberFormat="1" applyFont="1" applyFill="1" applyBorder="1" applyProtection="1">
      <protection locked="0"/>
    </xf>
    <xf numFmtId="4" fontId="27" fillId="0" borderId="58" xfId="39" applyNumberFormat="1" applyFont="1" applyFill="1" applyBorder="1" applyAlignment="1" applyProtection="1"/>
    <xf numFmtId="4" fontId="27" fillId="0" borderId="59" xfId="39" applyNumberFormat="1" applyFont="1" applyFill="1" applyBorder="1" applyAlignment="1" applyProtection="1"/>
    <xf numFmtId="4" fontId="25" fillId="25" borderId="59" xfId="39" applyNumberFormat="1" applyFont="1" applyFill="1" applyBorder="1" applyAlignment="1" applyProtection="1"/>
    <xf numFmtId="4" fontId="25" fillId="0" borderId="59" xfId="39" applyNumberFormat="1" applyFont="1" applyFill="1" applyBorder="1" applyAlignment="1" applyProtection="1"/>
    <xf numFmtId="4" fontId="27" fillId="0" borderId="56" xfId="39" applyNumberFormat="1" applyFont="1" applyFill="1" applyBorder="1" applyProtection="1">
      <protection locked="0"/>
    </xf>
    <xf numFmtId="3" fontId="25" fillId="0" borderId="57" xfId="39" applyNumberFormat="1" applyFont="1" applyFill="1" applyBorder="1" applyAlignment="1" applyProtection="1"/>
    <xf numFmtId="4" fontId="27" fillId="0" borderId="56" xfId="39" applyNumberFormat="1" applyFont="1" applyFill="1" applyBorder="1" applyAlignment="1" applyProtection="1"/>
    <xf numFmtId="4" fontId="26" fillId="26" borderId="57" xfId="37" applyNumberFormat="1" applyFont="1" applyFill="1" applyBorder="1"/>
    <xf numFmtId="4" fontId="26" fillId="25" borderId="59" xfId="37" applyNumberFormat="1" applyFont="1" applyFill="1" applyBorder="1"/>
    <xf numFmtId="4" fontId="27" fillId="0" borderId="58" xfId="39" applyNumberFormat="1" applyFont="1" applyFill="1" applyBorder="1" applyProtection="1"/>
    <xf numFmtId="4" fontId="43" fillId="0" borderId="58" xfId="39" applyNumberFormat="1" applyFont="1" applyFill="1" applyBorder="1" applyProtection="1"/>
    <xf numFmtId="4" fontId="25" fillId="0" borderId="58" xfId="39" applyNumberFormat="1" applyFont="1" applyFill="1" applyBorder="1" applyProtection="1"/>
    <xf numFmtId="4" fontId="27" fillId="0" borderId="58" xfId="37" applyNumberFormat="1" applyFont="1" applyBorder="1" applyProtection="1"/>
    <xf numFmtId="4" fontId="27" fillId="0" borderId="59" xfId="39" applyNumberFormat="1" applyFont="1" applyFill="1" applyBorder="1" applyProtection="1">
      <protection locked="0"/>
    </xf>
    <xf numFmtId="4" fontId="26" fillId="25" borderId="57" xfId="37" applyNumberFormat="1" applyFont="1" applyFill="1" applyBorder="1"/>
    <xf numFmtId="4" fontId="27" fillId="0" borderId="56" xfId="37" applyNumberFormat="1" applyFont="1" applyFill="1" applyBorder="1" applyProtection="1">
      <protection locked="0"/>
    </xf>
    <xf numFmtId="4" fontId="27" fillId="0" borderId="59" xfId="37" applyNumberFormat="1" applyFont="1" applyBorder="1" applyProtection="1">
      <protection locked="0"/>
    </xf>
    <xf numFmtId="4" fontId="27" fillId="25" borderId="57" xfId="37" applyNumberFormat="1" applyFont="1" applyFill="1" applyBorder="1" applyProtection="1">
      <protection locked="0"/>
    </xf>
    <xf numFmtId="4" fontId="27" fillId="0" borderId="59" xfId="37" applyNumberFormat="1" applyFont="1" applyFill="1" applyBorder="1" applyProtection="1">
      <protection locked="0"/>
    </xf>
    <xf numFmtId="4" fontId="27" fillId="27" borderId="57" xfId="37" applyNumberFormat="1" applyFont="1" applyFill="1" applyBorder="1"/>
    <xf numFmtId="4" fontId="25" fillId="0" borderId="60" xfId="39" applyNumberFormat="1" applyFont="1" applyFill="1" applyBorder="1" applyAlignment="1" applyProtection="1"/>
    <xf numFmtId="4" fontId="27" fillId="0" borderId="57" xfId="37" applyNumberFormat="1" applyFont="1" applyBorder="1" applyAlignment="1" applyProtection="1"/>
    <xf numFmtId="4" fontId="27" fillId="0" borderId="58" xfId="37" applyNumberFormat="1" applyFont="1" applyBorder="1" applyProtection="1">
      <protection locked="0"/>
    </xf>
    <xf numFmtId="4" fontId="27" fillId="27" borderId="58" xfId="37" applyNumberFormat="1" applyFont="1" applyFill="1" applyBorder="1" applyProtection="1">
      <protection locked="0"/>
    </xf>
    <xf numFmtId="4" fontId="27" fillId="0" borderId="58" xfId="37" applyNumberFormat="1" applyFont="1" applyBorder="1" applyAlignment="1" applyProtection="1"/>
    <xf numFmtId="4" fontId="25" fillId="0" borderId="57" xfId="39" applyNumberFormat="1" applyFont="1" applyFill="1" applyBorder="1" applyProtection="1">
      <protection locked="0"/>
    </xf>
    <xf numFmtId="4" fontId="27" fillId="0" borderId="57" xfId="37" applyNumberFormat="1" applyFont="1" applyBorder="1" applyProtection="1"/>
    <xf numFmtId="4" fontId="26" fillId="0" borderId="58" xfId="37" applyNumberFormat="1" applyFont="1" applyBorder="1" applyAlignment="1" applyProtection="1"/>
    <xf numFmtId="0" fontId="44" fillId="28" borderId="61" xfId="0" applyFont="1" applyFill="1" applyBorder="1" applyAlignment="1">
      <alignment horizontal="center" wrapText="1"/>
    </xf>
    <xf numFmtId="0" fontId="34" fillId="28" borderId="62" xfId="0" applyNumberFormat="1" applyFont="1" applyFill="1" applyBorder="1" applyAlignment="1">
      <alignment horizontal="center" wrapText="1"/>
    </xf>
    <xf numFmtId="0" fontId="34" fillId="28" borderId="63" xfId="0" applyNumberFormat="1" applyFont="1" applyFill="1" applyBorder="1" applyAlignment="1">
      <alignment horizontal="center" wrapText="1"/>
    </xf>
    <xf numFmtId="0" fontId="34" fillId="28" borderId="64" xfId="0" applyNumberFormat="1" applyFont="1" applyFill="1" applyBorder="1" applyAlignment="1">
      <alignment horizontal="center" wrapText="1"/>
    </xf>
    <xf numFmtId="3" fontId="34" fillId="28" borderId="64" xfId="0" applyNumberFormat="1" applyFont="1" applyFill="1" applyBorder="1" applyAlignment="1">
      <alignment horizontal="center" wrapText="1"/>
    </xf>
    <xf numFmtId="3" fontId="35" fillId="20" borderId="66" xfId="0" applyNumberFormat="1" applyFont="1" applyFill="1" applyBorder="1" applyAlignment="1">
      <alignment horizontal="right" wrapText="1"/>
    </xf>
    <xf numFmtId="3" fontId="0" fillId="0" borderId="43" xfId="0" applyNumberFormat="1" applyFont="1" applyFill="1" applyBorder="1"/>
    <xf numFmtId="3" fontId="0" fillId="21" borderId="43" xfId="0" applyNumberFormat="1" applyFont="1" applyFill="1" applyBorder="1"/>
    <xf numFmtId="0" fontId="0" fillId="0" borderId="43" xfId="0" applyFont="1" applyFill="1" applyBorder="1"/>
    <xf numFmtId="3" fontId="35" fillId="20" borderId="43" xfId="0" applyNumberFormat="1" applyFont="1" applyFill="1" applyBorder="1"/>
    <xf numFmtId="3" fontId="0" fillId="0" borderId="44" xfId="0" applyNumberFormat="1" applyFont="1" applyFill="1" applyBorder="1"/>
    <xf numFmtId="3" fontId="39" fillId="20" borderId="67" xfId="0" applyNumberFormat="1" applyFont="1" applyFill="1" applyBorder="1" applyAlignment="1">
      <alignment wrapText="1"/>
    </xf>
    <xf numFmtId="9" fontId="26" fillId="0" borderId="43" xfId="0" applyNumberFormat="1" applyFont="1" applyFill="1" applyBorder="1" applyAlignment="1">
      <alignment wrapText="1"/>
    </xf>
    <xf numFmtId="4" fontId="26" fillId="0" borderId="43" xfId="0" applyNumberFormat="1" applyFont="1" applyFill="1" applyBorder="1" applyAlignment="1">
      <alignment wrapText="1"/>
    </xf>
    <xf numFmtId="0" fontId="34" fillId="28" borderId="68" xfId="0" applyNumberFormat="1" applyFont="1" applyFill="1" applyBorder="1" applyAlignment="1">
      <alignment horizontal="center" wrapText="1"/>
    </xf>
    <xf numFmtId="3" fontId="35" fillId="21" borderId="43" xfId="0" applyNumberFormat="1" applyFont="1" applyFill="1" applyBorder="1"/>
    <xf numFmtId="3" fontId="35" fillId="20" borderId="65" xfId="0" applyNumberFormat="1" applyFont="1" applyFill="1" applyBorder="1" applyAlignment="1">
      <alignment horizontal="right" wrapText="1"/>
    </xf>
    <xf numFmtId="3" fontId="0" fillId="20" borderId="65" xfId="0" applyNumberFormat="1" applyFont="1" applyFill="1" applyBorder="1" applyAlignment="1">
      <alignment wrapText="1"/>
    </xf>
    <xf numFmtId="3" fontId="0" fillId="0" borderId="65" xfId="0" applyNumberFormat="1" applyBorder="1"/>
    <xf numFmtId="3" fontId="35" fillId="20" borderId="65" xfId="0" applyNumberFormat="1" applyFont="1" applyFill="1" applyBorder="1" applyAlignment="1">
      <alignment wrapText="1"/>
    </xf>
    <xf numFmtId="3" fontId="0" fillId="21" borderId="65" xfId="0" applyNumberFormat="1" applyFont="1" applyFill="1" applyBorder="1"/>
    <xf numFmtId="3" fontId="35" fillId="20" borderId="65" xfId="0" applyNumberFormat="1" applyFont="1" applyFill="1" applyBorder="1"/>
    <xf numFmtId="3" fontId="39" fillId="20" borderId="65" xfId="0" applyNumberFormat="1" applyFont="1" applyFill="1" applyBorder="1" applyAlignment="1">
      <alignment wrapText="1"/>
    </xf>
    <xf numFmtId="3" fontId="34" fillId="28" borderId="65" xfId="0" applyNumberFormat="1" applyFont="1" applyFill="1" applyBorder="1" applyAlignment="1">
      <alignment horizontal="center" wrapText="1"/>
    </xf>
    <xf numFmtId="3" fontId="35" fillId="21" borderId="65" xfId="0" applyNumberFormat="1" applyFont="1" applyFill="1" applyBorder="1"/>
    <xf numFmtId="3" fontId="0" fillId="0" borderId="65" xfId="0" applyNumberFormat="1" applyFont="1" applyFill="1" applyBorder="1" applyAlignment="1">
      <alignment wrapText="1"/>
    </xf>
    <xf numFmtId="0" fontId="35" fillId="0" borderId="69" xfId="0" applyFont="1" applyFill="1" applyBorder="1" applyAlignment="1">
      <alignment horizontal="left" wrapText="1"/>
    </xf>
    <xf numFmtId="3" fontId="35" fillId="27" borderId="65" xfId="0" applyNumberFormat="1" applyFont="1" applyFill="1" applyBorder="1"/>
    <xf numFmtId="3" fontId="35" fillId="27" borderId="70" xfId="0" applyNumberFormat="1" applyFont="1" applyFill="1" applyBorder="1"/>
    <xf numFmtId="0" fontId="36" fillId="0" borderId="69" xfId="0" applyFont="1" applyFill="1" applyBorder="1" applyAlignment="1">
      <alignment wrapText="1"/>
    </xf>
    <xf numFmtId="3" fontId="42" fillId="27" borderId="65" xfId="0" applyNumberFormat="1" applyFont="1" applyFill="1" applyBorder="1"/>
    <xf numFmtId="3" fontId="42" fillId="0" borderId="65" xfId="0" applyNumberFormat="1" applyFont="1" applyBorder="1"/>
    <xf numFmtId="3" fontId="42" fillId="0" borderId="65" xfId="0" applyNumberFormat="1" applyFont="1" applyFill="1" applyBorder="1"/>
    <xf numFmtId="3" fontId="42" fillId="0" borderId="70" xfId="0" applyNumberFormat="1" applyFont="1" applyFill="1" applyBorder="1"/>
    <xf numFmtId="0" fontId="35" fillId="0" borderId="69" xfId="0" applyFont="1" applyFill="1" applyBorder="1" applyAlignment="1">
      <alignment horizontal="left"/>
    </xf>
    <xf numFmtId="0" fontId="35" fillId="0" borderId="69" xfId="0" applyFont="1" applyFill="1" applyBorder="1" applyAlignment="1">
      <alignment wrapText="1"/>
    </xf>
    <xf numFmtId="0" fontId="35" fillId="0" borderId="69" xfId="0" applyFont="1" applyFill="1" applyBorder="1" applyAlignment="1"/>
    <xf numFmtId="3" fontId="0" fillId="0" borderId="0" xfId="0" applyNumberFormat="1" applyFont="1" applyFill="1" applyBorder="1"/>
    <xf numFmtId="0" fontId="0" fillId="29" borderId="0" xfId="0" applyFill="1"/>
    <xf numFmtId="166" fontId="42" fillId="29" borderId="0" xfId="37" applyNumberFormat="1" applyFont="1" applyFill="1" applyBorder="1" applyAlignment="1">
      <alignment wrapText="1"/>
    </xf>
    <xf numFmtId="166" fontId="42" fillId="29" borderId="0" xfId="37" applyNumberFormat="1" applyFill="1"/>
    <xf numFmtId="3" fontId="35" fillId="0" borderId="43" xfId="0" applyNumberFormat="1" applyFont="1" applyFill="1" applyBorder="1" applyAlignment="1">
      <alignment horizontal="right" wrapText="1"/>
    </xf>
    <xf numFmtId="3" fontId="0" fillId="6" borderId="43" xfId="0" applyNumberFormat="1" applyFont="1" applyFill="1" applyBorder="1" applyAlignment="1">
      <alignment horizontal="right" wrapText="1"/>
    </xf>
    <xf numFmtId="3" fontId="35" fillId="0" borderId="43" xfId="0" applyNumberFormat="1" applyFont="1" applyFill="1" applyBorder="1" applyAlignment="1">
      <alignment wrapText="1"/>
    </xf>
    <xf numFmtId="3" fontId="35" fillId="0" borderId="46" xfId="0" applyNumberFormat="1" applyFont="1" applyFill="1" applyBorder="1" applyAlignment="1">
      <alignment wrapText="1"/>
    </xf>
    <xf numFmtId="3" fontId="0" fillId="0" borderId="46" xfId="0" applyNumberFormat="1" applyFont="1" applyFill="1" applyBorder="1" applyAlignment="1">
      <alignment wrapText="1"/>
    </xf>
    <xf numFmtId="3" fontId="0" fillId="6" borderId="46" xfId="0" applyNumberFormat="1" applyFont="1" applyFill="1" applyBorder="1" applyAlignment="1">
      <alignment wrapText="1"/>
    </xf>
    <xf numFmtId="3" fontId="0" fillId="6" borderId="44" xfId="0" applyNumberFormat="1" applyFont="1" applyFill="1" applyBorder="1"/>
    <xf numFmtId="165" fontId="0" fillId="20" borderId="67" xfId="0" applyNumberFormat="1" applyFont="1" applyFill="1" applyBorder="1" applyAlignment="1">
      <alignment wrapText="1"/>
    </xf>
    <xf numFmtId="3" fontId="35" fillId="6" borderId="43" xfId="0" applyNumberFormat="1" applyFont="1" applyFill="1" applyBorder="1" applyAlignment="1">
      <alignment horizontal="right" wrapText="1"/>
    </xf>
    <xf numFmtId="0" fontId="0" fillId="20" borderId="43" xfId="0" applyFont="1" applyFill="1" applyBorder="1"/>
    <xf numFmtId="0" fontId="44" fillId="28" borderId="71" xfId="0" applyNumberFormat="1" applyFont="1" applyFill="1" applyBorder="1" applyAlignment="1">
      <alignment horizontal="center" wrapText="1"/>
    </xf>
    <xf numFmtId="0" fontId="44" fillId="28" borderId="72" xfId="0" applyNumberFormat="1" applyFont="1" applyFill="1" applyBorder="1" applyAlignment="1">
      <alignment horizontal="center" wrapText="1"/>
    </xf>
    <xf numFmtId="0" fontId="44" fillId="28" borderId="64" xfId="0" applyNumberFormat="1" applyFont="1" applyFill="1" applyBorder="1" applyAlignment="1">
      <alignment horizontal="center" wrapText="1"/>
    </xf>
    <xf numFmtId="0" fontId="0" fillId="20" borderId="43" xfId="0" applyFill="1" applyBorder="1"/>
    <xf numFmtId="0" fontId="44" fillId="28" borderId="73" xfId="0" applyFont="1" applyFill="1" applyBorder="1" applyAlignment="1">
      <alignment wrapText="1"/>
    </xf>
    <xf numFmtId="3" fontId="44" fillId="0" borderId="65" xfId="0" applyNumberFormat="1" applyFont="1" applyFill="1" applyBorder="1" applyAlignment="1">
      <alignment horizontal="right" wrapText="1"/>
    </xf>
    <xf numFmtId="3" fontId="42" fillId="0" borderId="65" xfId="0" applyNumberFormat="1" applyFont="1" applyFill="1" applyBorder="1" applyAlignment="1">
      <alignment horizontal="right" wrapText="1"/>
    </xf>
    <xf numFmtId="3" fontId="0" fillId="0" borderId="41" xfId="0" applyNumberFormat="1" applyFont="1" applyFill="1" applyBorder="1" applyAlignment="1">
      <alignment horizontal="right" wrapText="1"/>
    </xf>
    <xf numFmtId="3" fontId="0" fillId="0" borderId="30" xfId="0" applyNumberFormat="1" applyFont="1" applyFill="1" applyBorder="1" applyAlignment="1">
      <alignment wrapText="1"/>
    </xf>
    <xf numFmtId="0" fontId="36" fillId="0" borderId="40" xfId="0" applyFont="1" applyFill="1" applyBorder="1" applyAlignment="1">
      <alignment horizontal="left" vertical="center"/>
    </xf>
    <xf numFmtId="3" fontId="0" fillId="0" borderId="65" xfId="0" applyNumberFormat="1" applyFont="1" applyFill="1" applyBorder="1"/>
    <xf numFmtId="9" fontId="26" fillId="0" borderId="65" xfId="0" applyNumberFormat="1" applyFont="1" applyFill="1" applyBorder="1" applyAlignment="1">
      <alignment wrapText="1"/>
    </xf>
    <xf numFmtId="4" fontId="26" fillId="0" borderId="65" xfId="0" applyNumberFormat="1" applyFont="1" applyFill="1" applyBorder="1" applyAlignment="1">
      <alignment wrapText="1"/>
    </xf>
    <xf numFmtId="3" fontId="42" fillId="0" borderId="41" xfId="0" applyNumberFormat="1" applyFont="1" applyFill="1" applyBorder="1" applyAlignment="1">
      <alignment horizontal="right" wrapText="1"/>
    </xf>
    <xf numFmtId="3" fontId="42" fillId="0" borderId="53" xfId="0" applyNumberFormat="1" applyFont="1" applyFill="1" applyBorder="1" applyAlignment="1">
      <alignment wrapText="1"/>
    </xf>
    <xf numFmtId="3" fontId="42" fillId="0" borderId="41" xfId="0" applyNumberFormat="1" applyFont="1" applyFill="1" applyBorder="1" applyAlignment="1">
      <alignment wrapText="1"/>
    </xf>
    <xf numFmtId="3" fontId="42" fillId="0" borderId="41" xfId="0" applyNumberFormat="1" applyFont="1" applyFill="1" applyBorder="1" applyAlignment="1">
      <alignment horizontal="right" vertical="center"/>
    </xf>
    <xf numFmtId="3" fontId="42" fillId="0" borderId="41" xfId="0" applyNumberFormat="1" applyFont="1" applyFill="1" applyBorder="1"/>
    <xf numFmtId="3" fontId="42" fillId="0" borderId="55" xfId="0" applyNumberFormat="1" applyFont="1" applyFill="1" applyBorder="1"/>
    <xf numFmtId="3" fontId="42" fillId="0" borderId="48" xfId="0" applyNumberFormat="1" applyFont="1" applyFill="1" applyBorder="1"/>
    <xf numFmtId="3" fontId="35" fillId="0" borderId="41" xfId="0" applyNumberFormat="1" applyFont="1" applyFill="1" applyBorder="1"/>
    <xf numFmtId="3" fontId="0" fillId="0" borderId="43" xfId="0" applyNumberFormat="1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21" fillId="0" borderId="20" xfId="39" applyFont="1" applyFill="1" applyBorder="1" applyAlignment="1">
      <alignment horizontal="left" wrapText="1"/>
    </xf>
    <xf numFmtId="0" fontId="21" fillId="0" borderId="20" xfId="39" applyFont="1" applyFill="1" applyBorder="1" applyAlignment="1">
      <alignment wrapText="1"/>
    </xf>
    <xf numFmtId="4" fontId="20" fillId="0" borderId="0" xfId="37" applyNumberFormat="1" applyFont="1" applyBorder="1"/>
    <xf numFmtId="0" fontId="45" fillId="0" borderId="0" xfId="37" applyFont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rmal_Sheet1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>
          <bgColor indexed="14"/>
        </patternFill>
      </fill>
    </dxf>
    <dxf>
      <fill>
        <patternFill patternType="solid">
          <fgColor indexed="33"/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ylli_L/LOCALS~1/Temp/notesFA1DC0/EA%20strat%20numbriteg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larvearuanne"/>
      <sheetName val="inv 2011"/>
      <sheetName val="inv 2012"/>
      <sheetName val="KOV"/>
      <sheetName val="KOV valdkonniti"/>
      <sheetName val="KOV võetud kohustustega"/>
      <sheetName val="kulud valdkonniti"/>
      <sheetName val="AK"/>
      <sheetName val="sõltuvad üksused"/>
      <sheetName val="arvestusüksus"/>
      <sheetName val="tulud"/>
      <sheetName val="makronäitajad"/>
      <sheetName val="projektid"/>
      <sheetName val="inv kohustused"/>
      <sheetName val="laenukohustused"/>
      <sheetName val="graafikud"/>
    </sheetNames>
    <sheetDataSet>
      <sheetData sheetId="0"/>
      <sheetData sheetId="1">
        <row r="17">
          <cell r="F17">
            <v>629055</v>
          </cell>
        </row>
        <row r="18">
          <cell r="F18">
            <v>174078.84</v>
          </cell>
        </row>
        <row r="70">
          <cell r="F70">
            <v>7108.15</v>
          </cell>
        </row>
        <row r="105">
          <cell r="F105">
            <v>47934</v>
          </cell>
        </row>
        <row r="114">
          <cell r="F114">
            <v>6556.99</v>
          </cell>
        </row>
        <row r="117">
          <cell r="F117">
            <v>6269.52</v>
          </cell>
        </row>
        <row r="129">
          <cell r="F129">
            <v>3641758.6699999995</v>
          </cell>
          <cell r="G129">
            <v>1998122.4</v>
          </cell>
        </row>
        <row r="191">
          <cell r="F191">
            <v>29200</v>
          </cell>
          <cell r="G191">
            <v>29200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47002232</v>
          </cell>
        </row>
        <row r="5">
          <cell r="C5">
            <v>899722</v>
          </cell>
        </row>
        <row r="7">
          <cell r="C7">
            <v>292489.11</v>
          </cell>
        </row>
        <row r="8">
          <cell r="C8">
            <v>110795.22</v>
          </cell>
        </row>
        <row r="9">
          <cell r="C9">
            <v>322082.96999999997</v>
          </cell>
        </row>
        <row r="24">
          <cell r="C24">
            <v>2780782</v>
          </cell>
        </row>
        <row r="25">
          <cell r="C25">
            <v>18532448</v>
          </cell>
        </row>
        <row r="26">
          <cell r="C26">
            <v>4083.6</v>
          </cell>
        </row>
        <row r="27">
          <cell r="C27">
            <v>9112475.1199999992</v>
          </cell>
        </row>
        <row r="29">
          <cell r="C29">
            <v>136504.51</v>
          </cell>
        </row>
        <row r="30">
          <cell r="C30">
            <v>175766</v>
          </cell>
        </row>
        <row r="31">
          <cell r="C31">
            <v>175889.67</v>
          </cell>
        </row>
        <row r="32">
          <cell r="C32">
            <v>62569.45</v>
          </cell>
        </row>
        <row r="42">
          <cell r="C42">
            <v>754261.01</v>
          </cell>
        </row>
        <row r="46">
          <cell r="C46">
            <v>87482.09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tabSelected="1" zoomScale="120" zoomScaleNormal="120" workbookViewId="0">
      <pane xSplit="3" ySplit="7" topLeftCell="D8" activePane="bottomRight" state="frozen"/>
      <selection sqref="A1:XFD1"/>
      <selection pane="topRight" sqref="A1:XFD1"/>
      <selection pane="bottomLeft" sqref="A1:XFD1"/>
      <selection pane="bottomRight" activeCell="F4" sqref="F4"/>
    </sheetView>
  </sheetViews>
  <sheetFormatPr defaultRowHeight="12.75"/>
  <cols>
    <col min="1" max="1" width="8.42578125" style="1" customWidth="1"/>
    <col min="2" max="2" width="3.5703125" style="2" customWidth="1"/>
    <col min="3" max="3" width="40" style="2" customWidth="1"/>
    <col min="4" max="4" width="13.85546875" style="3" customWidth="1"/>
    <col min="5" max="5" width="11.7109375" style="4" customWidth="1"/>
    <col min="6" max="6" width="15" customWidth="1"/>
    <col min="7" max="7" width="9.140625" style="2"/>
    <col min="8" max="8" width="16.42578125" style="2" customWidth="1"/>
    <col min="9" max="16384" width="9.140625" style="2"/>
  </cols>
  <sheetData>
    <row r="1" spans="1:8" ht="15.75">
      <c r="A1" s="439" t="s">
        <v>412</v>
      </c>
      <c r="B1" s="439"/>
      <c r="C1" s="439"/>
      <c r="D1" s="439"/>
      <c r="E1" s="439"/>
      <c r="F1" s="439"/>
      <c r="G1" s="439"/>
      <c r="H1" s="439"/>
    </row>
    <row r="2" spans="1:8">
      <c r="E2" s="438"/>
    </row>
    <row r="3" spans="1:8" ht="21" customHeight="1">
      <c r="B3" s="5" t="s">
        <v>0</v>
      </c>
      <c r="C3" s="6"/>
      <c r="D3" s="7"/>
      <c r="E3" s="8"/>
      <c r="H3" s="9" t="s">
        <v>1</v>
      </c>
    </row>
    <row r="4" spans="1:8">
      <c r="A4" s="10" t="s">
        <v>2</v>
      </c>
      <c r="B4" s="11"/>
      <c r="C4" s="12"/>
      <c r="E4" s="3"/>
      <c r="H4" s="13" t="s">
        <v>3</v>
      </c>
    </row>
    <row r="5" spans="1:8" ht="12.75" customHeight="1">
      <c r="A5" s="14" t="s">
        <v>4</v>
      </c>
      <c r="B5" s="15"/>
      <c r="C5" s="16" t="s">
        <v>410</v>
      </c>
      <c r="D5" s="17"/>
      <c r="E5" s="18"/>
    </row>
    <row r="6" spans="1:8" ht="10.5" customHeight="1">
      <c r="A6" s="19" t="s">
        <v>5</v>
      </c>
      <c r="B6" s="20"/>
      <c r="C6" s="21" t="s">
        <v>411</v>
      </c>
      <c r="D6" s="22"/>
      <c r="E6" s="23" t="s">
        <v>6</v>
      </c>
      <c r="H6" s="23"/>
    </row>
    <row r="7" spans="1:8" ht="42.75" customHeight="1" thickBot="1">
      <c r="A7" s="24" t="s">
        <v>7</v>
      </c>
      <c r="B7" s="25" t="s">
        <v>8</v>
      </c>
      <c r="C7" s="26"/>
      <c r="D7" s="27" t="s">
        <v>9</v>
      </c>
      <c r="E7" s="28" t="s">
        <v>10</v>
      </c>
      <c r="H7" s="29" t="s">
        <v>11</v>
      </c>
    </row>
    <row r="8" spans="1:8" ht="15" customHeight="1" thickBot="1">
      <c r="A8" s="30"/>
      <c r="B8" s="31" t="s">
        <v>12</v>
      </c>
      <c r="C8" s="32"/>
      <c r="D8" s="33">
        <v>91716831</v>
      </c>
      <c r="E8" s="34">
        <f>E9+E16+E17+E21</f>
        <v>0</v>
      </c>
      <c r="F8" s="35"/>
      <c r="G8" s="36"/>
      <c r="H8" s="329">
        <f>H9+H16+H17+H21</f>
        <v>91912438.159999996</v>
      </c>
    </row>
    <row r="9" spans="1:8" ht="13.5" thickBot="1">
      <c r="A9" s="30">
        <v>30</v>
      </c>
      <c r="B9" s="37" t="s">
        <v>13</v>
      </c>
      <c r="C9" s="38"/>
      <c r="D9" s="39">
        <v>49134100</v>
      </c>
      <c r="E9" s="40">
        <f>SUM(E10:E15)</f>
        <v>0</v>
      </c>
      <c r="F9" s="35"/>
      <c r="G9" s="36"/>
      <c r="H9" s="330">
        <f>SUM(H10:H15)</f>
        <v>48627321.299999997</v>
      </c>
    </row>
    <row r="10" spans="1:8">
      <c r="A10" s="42">
        <v>3000</v>
      </c>
      <c r="B10" s="43"/>
      <c r="C10" s="44" t="s">
        <v>14</v>
      </c>
      <c r="D10" s="45">
        <v>47592000</v>
      </c>
      <c r="E10" s="46"/>
      <c r="F10" s="35"/>
      <c r="G10" s="36"/>
      <c r="H10" s="331">
        <f>[1]tulud!C4</f>
        <v>47002232</v>
      </c>
    </row>
    <row r="11" spans="1:8">
      <c r="A11" s="47">
        <v>3030</v>
      </c>
      <c r="B11" s="48"/>
      <c r="C11" s="44" t="s">
        <v>15</v>
      </c>
      <c r="D11" s="45">
        <v>850000</v>
      </c>
      <c r="E11" s="46"/>
      <c r="F11" s="35"/>
      <c r="G11" s="36"/>
      <c r="H11" s="331">
        <f>[1]tulud!C5</f>
        <v>899722</v>
      </c>
    </row>
    <row r="12" spans="1:8">
      <c r="A12" s="47">
        <v>3034</v>
      </c>
      <c r="B12" s="48"/>
      <c r="C12" s="44" t="s">
        <v>16</v>
      </c>
      <c r="D12" s="45"/>
      <c r="E12" s="49"/>
      <c r="F12" s="35"/>
      <c r="G12" s="36"/>
      <c r="H12" s="332">
        <v>0</v>
      </c>
    </row>
    <row r="13" spans="1:8">
      <c r="A13" s="47">
        <v>3044</v>
      </c>
      <c r="B13" s="48"/>
      <c r="C13" s="44" t="s">
        <v>17</v>
      </c>
      <c r="D13" s="45">
        <v>274600</v>
      </c>
      <c r="E13" s="49"/>
      <c r="F13" s="35"/>
      <c r="G13" s="36"/>
      <c r="H13" s="332">
        <f>[1]tulud!C7</f>
        <v>292489.11</v>
      </c>
    </row>
    <row r="14" spans="1:8">
      <c r="A14" s="47">
        <v>3045</v>
      </c>
      <c r="B14" s="48"/>
      <c r="C14" s="44" t="s">
        <v>18</v>
      </c>
      <c r="D14" s="45">
        <v>97500</v>
      </c>
      <c r="E14" s="49"/>
      <c r="F14" s="35"/>
      <c r="G14" s="36"/>
      <c r="H14" s="332">
        <f>[1]tulud!C8</f>
        <v>110795.22</v>
      </c>
    </row>
    <row r="15" spans="1:8" ht="13.5" thickBot="1">
      <c r="A15" s="50">
        <v>3047</v>
      </c>
      <c r="B15" s="48"/>
      <c r="C15" s="51" t="s">
        <v>19</v>
      </c>
      <c r="D15" s="45">
        <v>320000</v>
      </c>
      <c r="E15" s="49"/>
      <c r="F15" s="35"/>
      <c r="G15" s="36"/>
      <c r="H15" s="332">
        <f>[1]tulud!C9</f>
        <v>322082.96999999997</v>
      </c>
    </row>
    <row r="16" spans="1:8" ht="13.5" thickBot="1">
      <c r="A16" s="52">
        <v>32</v>
      </c>
      <c r="B16" s="53" t="s">
        <v>20</v>
      </c>
      <c r="C16" s="38"/>
      <c r="D16" s="39">
        <v>12565654</v>
      </c>
      <c r="E16" s="40"/>
      <c r="F16" s="35"/>
      <c r="G16" s="36"/>
      <c r="H16" s="330">
        <v>12304598.509999996</v>
      </c>
    </row>
    <row r="17" spans="1:8" ht="13.5" thickBot="1">
      <c r="A17" s="30" t="s">
        <v>21</v>
      </c>
      <c r="B17" s="53" t="s">
        <v>22</v>
      </c>
      <c r="C17" s="38"/>
      <c r="D17" s="40">
        <v>29559563</v>
      </c>
      <c r="E17" s="41">
        <f>E18+E19+E20</f>
        <v>0</v>
      </c>
      <c r="F17" s="35"/>
      <c r="G17" s="36"/>
      <c r="H17" s="330">
        <f>H18+H19+H20</f>
        <v>30429788.719999999</v>
      </c>
    </row>
    <row r="18" spans="1:8">
      <c r="A18" s="47" t="s">
        <v>23</v>
      </c>
      <c r="B18" s="48"/>
      <c r="C18" s="44" t="s">
        <v>24</v>
      </c>
      <c r="D18" s="54">
        <v>3498428</v>
      </c>
      <c r="E18" s="55"/>
      <c r="F18" s="35"/>
      <c r="G18" s="36"/>
      <c r="H18" s="333">
        <f>[1]tulud!C24</f>
        <v>2780782</v>
      </c>
    </row>
    <row r="19" spans="1:8">
      <c r="A19" s="47" t="s">
        <v>25</v>
      </c>
      <c r="B19" s="48"/>
      <c r="C19" s="51" t="s">
        <v>26</v>
      </c>
      <c r="D19" s="56">
        <v>18545097</v>
      </c>
      <c r="E19" s="57"/>
      <c r="F19" s="35"/>
      <c r="G19" s="36"/>
      <c r="H19" s="333">
        <f>[1]tulud!C25</f>
        <v>18532448</v>
      </c>
    </row>
    <row r="20" spans="1:8" ht="13.5" thickBot="1">
      <c r="A20" s="50" t="s">
        <v>21</v>
      </c>
      <c r="B20" s="58"/>
      <c r="C20" s="59" t="s">
        <v>27</v>
      </c>
      <c r="D20" s="60">
        <v>7516038</v>
      </c>
      <c r="E20" s="61"/>
      <c r="F20" s="35"/>
      <c r="G20" s="36"/>
      <c r="H20" s="334">
        <f>[1]tulud!C26+[1]tulud!C27</f>
        <v>9116558.7199999988</v>
      </c>
    </row>
    <row r="21" spans="1:8" ht="13.5" thickBot="1">
      <c r="A21" s="30" t="s">
        <v>28</v>
      </c>
      <c r="B21" s="53" t="s">
        <v>29</v>
      </c>
      <c r="C21" s="62"/>
      <c r="D21" s="39">
        <v>457514</v>
      </c>
      <c r="E21" s="40">
        <f>SUM(E22:E25)</f>
        <v>0</v>
      </c>
      <c r="F21" s="35"/>
      <c r="G21" s="36"/>
      <c r="H21" s="330">
        <f>SUM(H22:H25)</f>
        <v>550729.63000000012</v>
      </c>
    </row>
    <row r="22" spans="1:8">
      <c r="A22" s="42" t="s">
        <v>30</v>
      </c>
      <c r="B22" s="48"/>
      <c r="C22" s="63" t="s">
        <v>31</v>
      </c>
      <c r="D22" s="64"/>
      <c r="E22" s="65"/>
      <c r="F22" s="35"/>
      <c r="G22" s="36"/>
      <c r="H22" s="332"/>
    </row>
    <row r="23" spans="1:8">
      <c r="A23" s="47">
        <v>382540</v>
      </c>
      <c r="B23" s="48"/>
      <c r="C23" s="44" t="s">
        <v>32</v>
      </c>
      <c r="D23" s="66">
        <v>121000</v>
      </c>
      <c r="E23" s="49"/>
      <c r="F23" s="35"/>
      <c r="G23" s="36"/>
      <c r="H23" s="332">
        <f>[1]tulud!C29</f>
        <v>136504.51</v>
      </c>
    </row>
    <row r="24" spans="1:8">
      <c r="A24" s="47">
        <v>3882</v>
      </c>
      <c r="B24" s="48"/>
      <c r="C24" s="44" t="s">
        <v>33</v>
      </c>
      <c r="D24" s="67">
        <v>180000</v>
      </c>
      <c r="E24" s="55"/>
      <c r="F24" s="35"/>
      <c r="G24" s="36"/>
      <c r="H24" s="333">
        <f>[1]tulud!C31</f>
        <v>175889.67</v>
      </c>
    </row>
    <row r="25" spans="1:8" ht="13.5" thickBot="1">
      <c r="A25" s="50" t="s">
        <v>34</v>
      </c>
      <c r="B25" s="58"/>
      <c r="C25" s="68" t="s">
        <v>35</v>
      </c>
      <c r="D25" s="69">
        <v>156514</v>
      </c>
      <c r="E25" s="61"/>
      <c r="F25" s="35"/>
      <c r="G25" s="36"/>
      <c r="H25" s="334">
        <f>[1]tulud!C30+[1]tulud!C32</f>
        <v>238335.45</v>
      </c>
    </row>
    <row r="26" spans="1:8" ht="13.5" thickBot="1">
      <c r="A26" s="70"/>
      <c r="B26" s="71" t="s">
        <v>36</v>
      </c>
      <c r="C26" s="72"/>
      <c r="D26" s="73">
        <v>87201574</v>
      </c>
      <c r="E26" s="74">
        <f>E27+E32</f>
        <v>0</v>
      </c>
      <c r="F26" s="35"/>
      <c r="G26" s="36"/>
      <c r="H26" s="335">
        <f>H27+H32</f>
        <v>83311211.150000006</v>
      </c>
    </row>
    <row r="27" spans="1:8" ht="13.5" thickBot="1">
      <c r="A27" s="75" t="s">
        <v>37</v>
      </c>
      <c r="B27" s="76" t="s">
        <v>38</v>
      </c>
      <c r="C27" s="77"/>
      <c r="D27" s="73">
        <v>11977947</v>
      </c>
      <c r="E27" s="74">
        <f>E28+E29+E30+E31</f>
        <v>0</v>
      </c>
      <c r="F27" s="35"/>
      <c r="G27" s="36"/>
      <c r="H27" s="336">
        <f>H28+H29+H30+H31</f>
        <v>11745132.619999997</v>
      </c>
    </row>
    <row r="28" spans="1:8">
      <c r="A28" s="42">
        <v>40</v>
      </c>
      <c r="B28" s="43"/>
      <c r="C28" s="78" t="s">
        <v>39</v>
      </c>
      <c r="D28" s="79"/>
      <c r="E28" s="65"/>
      <c r="F28" s="35"/>
      <c r="G28" s="36"/>
      <c r="H28" s="337"/>
    </row>
    <row r="29" spans="1:8">
      <c r="A29" s="47">
        <v>413</v>
      </c>
      <c r="B29" s="48"/>
      <c r="C29" s="63" t="s">
        <v>40</v>
      </c>
      <c r="D29" s="80">
        <v>5203860</v>
      </c>
      <c r="E29" s="57"/>
      <c r="F29" s="35"/>
      <c r="G29" s="36"/>
      <c r="H29" s="333">
        <v>4893260.3699999992</v>
      </c>
    </row>
    <row r="30" spans="1:8">
      <c r="A30" s="47">
        <v>4500</v>
      </c>
      <c r="B30" s="48"/>
      <c r="C30" s="81" t="s">
        <v>41</v>
      </c>
      <c r="D30" s="80">
        <v>6708698</v>
      </c>
      <c r="E30" s="57"/>
      <c r="F30" s="35"/>
      <c r="G30" s="36"/>
      <c r="H30" s="333">
        <v>6790518.7999999989</v>
      </c>
    </row>
    <row r="31" spans="1:8" ht="13.5" thickBot="1">
      <c r="A31" s="82">
        <v>452</v>
      </c>
      <c r="B31" s="83"/>
      <c r="C31" s="84" t="s">
        <v>42</v>
      </c>
      <c r="D31" s="45">
        <v>65389</v>
      </c>
      <c r="E31" s="49"/>
      <c r="F31" s="35"/>
      <c r="G31" s="36"/>
      <c r="H31" s="332">
        <v>61353.45</v>
      </c>
    </row>
    <row r="32" spans="1:8" ht="13.5" thickBot="1">
      <c r="A32" s="52"/>
      <c r="B32" s="53" t="s">
        <v>43</v>
      </c>
      <c r="C32" s="38"/>
      <c r="D32" s="39">
        <v>75223627</v>
      </c>
      <c r="E32" s="40">
        <f>E33+E34+E35</f>
        <v>0</v>
      </c>
      <c r="F32" s="35"/>
      <c r="G32" s="36"/>
      <c r="H32" s="338">
        <f>H33+H34+H35</f>
        <v>71566078.530000001</v>
      </c>
    </row>
    <row r="33" spans="1:8">
      <c r="A33" s="47">
        <v>50</v>
      </c>
      <c r="B33" s="48"/>
      <c r="C33" s="44" t="s">
        <v>44</v>
      </c>
      <c r="D33" s="85">
        <v>40593492</v>
      </c>
      <c r="E33" s="86"/>
      <c r="F33" s="35"/>
      <c r="G33" s="36"/>
      <c r="H33" s="339">
        <v>39838954.530000001</v>
      </c>
    </row>
    <row r="34" spans="1:8">
      <c r="A34" s="47">
        <v>55</v>
      </c>
      <c r="B34" s="48"/>
      <c r="C34" s="44" t="s">
        <v>45</v>
      </c>
      <c r="D34" s="80">
        <v>33902112</v>
      </c>
      <c r="E34" s="49"/>
      <c r="F34" s="35"/>
      <c r="G34" s="36"/>
      <c r="H34" s="332">
        <v>31395450.07</v>
      </c>
    </row>
    <row r="35" spans="1:8" ht="13.5" thickBot="1">
      <c r="A35" s="50">
        <v>60</v>
      </c>
      <c r="B35" s="58"/>
      <c r="C35" s="68" t="s">
        <v>46</v>
      </c>
      <c r="D35" s="87">
        <v>728023</v>
      </c>
      <c r="E35" s="61"/>
      <c r="F35" s="35"/>
      <c r="G35" s="36"/>
      <c r="H35" s="333">
        <v>331673.93</v>
      </c>
    </row>
    <row r="36" spans="1:8" ht="13.5" thickBot="1">
      <c r="A36" s="52"/>
      <c r="B36" s="88" t="s">
        <v>47</v>
      </c>
      <c r="C36" s="89"/>
      <c r="D36" s="90">
        <v>4515257</v>
      </c>
      <c r="E36" s="91">
        <f>E8-E26</f>
        <v>0</v>
      </c>
      <c r="F36" s="35"/>
      <c r="G36" s="35"/>
      <c r="H36" s="340">
        <f>H8-H26</f>
        <v>8601227.0099999905</v>
      </c>
    </row>
    <row r="37" spans="1:8" ht="13.5" thickBot="1">
      <c r="A37" s="52"/>
      <c r="B37" s="92" t="s">
        <v>48</v>
      </c>
      <c r="C37" s="93"/>
      <c r="D37" s="94">
        <v>-13748650</v>
      </c>
      <c r="E37" s="95">
        <f>E38+E39+E40+E41+E42+E43+E44+E45+E46+E47+E48+E49</f>
        <v>0</v>
      </c>
      <c r="F37" s="35"/>
      <c r="G37" s="36"/>
      <c r="H37" s="341">
        <f>H38+H39+H40+H41+H42+H43+H44+H45+H46+H47+H48+H49</f>
        <v>-5017327.4300000016</v>
      </c>
    </row>
    <row r="38" spans="1:8">
      <c r="A38" s="47">
        <v>381</v>
      </c>
      <c r="B38" s="48"/>
      <c r="C38" s="97" t="s">
        <v>49</v>
      </c>
      <c r="D38" s="45">
        <v>759967</v>
      </c>
      <c r="E38" s="57"/>
      <c r="F38" s="35"/>
      <c r="G38" s="36"/>
      <c r="H38" s="333">
        <f>[1]tulud!C42</f>
        <v>754261.01</v>
      </c>
    </row>
    <row r="39" spans="1:8">
      <c r="A39" s="47">
        <v>15</v>
      </c>
      <c r="B39" s="48"/>
      <c r="C39" s="97" t="s">
        <v>50</v>
      </c>
      <c r="D39" s="45">
        <v>-34186667</v>
      </c>
      <c r="E39" s="57"/>
      <c r="F39" s="35"/>
      <c r="G39" s="36"/>
      <c r="H39" s="333">
        <v>-8561691.3900000006</v>
      </c>
    </row>
    <row r="40" spans="1:8">
      <c r="A40" s="47">
        <v>3502</v>
      </c>
      <c r="B40" s="48"/>
      <c r="C40" s="97" t="s">
        <v>51</v>
      </c>
      <c r="D40" s="80">
        <v>22944117</v>
      </c>
      <c r="E40" s="57"/>
      <c r="F40" s="35"/>
      <c r="G40" s="36"/>
      <c r="H40" s="333">
        <v>5861360.4199999999</v>
      </c>
    </row>
    <row r="41" spans="1:8">
      <c r="A41" s="47">
        <v>4502</v>
      </c>
      <c r="B41" s="48"/>
      <c r="C41" s="98" t="s">
        <v>52</v>
      </c>
      <c r="D41" s="45">
        <v>-2015412</v>
      </c>
      <c r="E41" s="49"/>
      <c r="F41" s="35"/>
      <c r="G41" s="36"/>
      <c r="H41" s="332">
        <v>-2000448.11</v>
      </c>
    </row>
    <row r="42" spans="1:8">
      <c r="A42" s="99" t="s">
        <v>53</v>
      </c>
      <c r="B42" s="100"/>
      <c r="C42" s="97" t="s">
        <v>54</v>
      </c>
      <c r="D42" s="101"/>
      <c r="E42" s="102"/>
      <c r="F42" s="35"/>
      <c r="G42" s="36"/>
      <c r="H42" s="342"/>
    </row>
    <row r="43" spans="1:8">
      <c r="A43" s="99" t="s">
        <v>55</v>
      </c>
      <c r="B43" s="100"/>
      <c r="C43" s="97" t="s">
        <v>56</v>
      </c>
      <c r="D43" s="101"/>
      <c r="E43" s="102"/>
      <c r="F43" s="35"/>
      <c r="G43" s="36"/>
      <c r="H43" s="342"/>
    </row>
    <row r="44" spans="1:8">
      <c r="A44" s="99" t="s">
        <v>57</v>
      </c>
      <c r="B44" s="48"/>
      <c r="C44" s="103" t="s">
        <v>58</v>
      </c>
      <c r="D44" s="101"/>
      <c r="E44" s="102"/>
      <c r="F44" s="35"/>
      <c r="G44" s="36"/>
      <c r="H44" s="343">
        <v>18010.41</v>
      </c>
    </row>
    <row r="45" spans="1:8">
      <c r="A45" s="99" t="s">
        <v>59</v>
      </c>
      <c r="B45" s="48"/>
      <c r="C45" s="103" t="s">
        <v>60</v>
      </c>
      <c r="D45" s="101"/>
      <c r="E45" s="102"/>
      <c r="F45" s="35"/>
      <c r="G45" s="36"/>
      <c r="H45" s="343">
        <v>-651.9</v>
      </c>
    </row>
    <row r="46" spans="1:8">
      <c r="A46" s="47" t="s">
        <v>61</v>
      </c>
      <c r="B46" s="48"/>
      <c r="C46" s="103" t="s">
        <v>62</v>
      </c>
      <c r="D46" s="45"/>
      <c r="E46" s="49"/>
      <c r="F46" s="35"/>
      <c r="G46" s="36"/>
      <c r="H46" s="332"/>
    </row>
    <row r="47" spans="1:8">
      <c r="A47" s="47" t="s">
        <v>63</v>
      </c>
      <c r="B47" s="48"/>
      <c r="C47" s="98" t="s">
        <v>64</v>
      </c>
      <c r="D47" s="101"/>
      <c r="E47" s="104"/>
      <c r="F47" s="35"/>
      <c r="G47" s="36"/>
      <c r="H47" s="344"/>
    </row>
    <row r="48" spans="1:8">
      <c r="A48" s="105">
        <v>382</v>
      </c>
      <c r="B48" s="100"/>
      <c r="C48" s="97" t="s">
        <v>65</v>
      </c>
      <c r="D48" s="101">
        <v>225569</v>
      </c>
      <c r="E48" s="106"/>
      <c r="F48" s="35"/>
      <c r="G48" s="36"/>
      <c r="H48" s="345">
        <f>[1]tulud!C46</f>
        <v>87482.09</v>
      </c>
    </row>
    <row r="49" spans="1:8" ht="13.5" thickBot="1">
      <c r="A49" s="50">
        <v>65</v>
      </c>
      <c r="B49" s="58"/>
      <c r="C49" s="107" t="s">
        <v>66</v>
      </c>
      <c r="D49" s="87">
        <v>-1476224</v>
      </c>
      <c r="E49" s="108"/>
      <c r="F49" s="35"/>
      <c r="G49" s="36"/>
      <c r="H49" s="346">
        <v>-1175649.96</v>
      </c>
    </row>
    <row r="50" spans="1:8" ht="13.5" thickBot="1">
      <c r="A50" s="30"/>
      <c r="B50" s="109" t="s">
        <v>67</v>
      </c>
      <c r="C50" s="110"/>
      <c r="D50" s="111">
        <v>-9233393</v>
      </c>
      <c r="E50" s="112">
        <f>E36+E37</f>
        <v>0</v>
      </c>
      <c r="F50" s="35"/>
      <c r="G50" s="113"/>
      <c r="H50" s="340">
        <f>H36+H37</f>
        <v>3583899.5799999889</v>
      </c>
    </row>
    <row r="51" spans="1:8" ht="13.5" thickBot="1">
      <c r="A51" s="30"/>
      <c r="B51" s="92" t="s">
        <v>68</v>
      </c>
      <c r="C51" s="93"/>
      <c r="D51" s="114">
        <v>2264841</v>
      </c>
      <c r="E51" s="96">
        <f>E52+E53</f>
        <v>0</v>
      </c>
      <c r="F51" s="35"/>
      <c r="G51" s="36"/>
      <c r="H51" s="347">
        <f>H52+H53</f>
        <v>-233150.26999999955</v>
      </c>
    </row>
    <row r="52" spans="1:8">
      <c r="A52" s="115" t="s">
        <v>69</v>
      </c>
      <c r="B52" s="116"/>
      <c r="C52" s="117" t="s">
        <v>70</v>
      </c>
      <c r="D52" s="101">
        <v>8385846</v>
      </c>
      <c r="E52" s="118"/>
      <c r="F52" s="35"/>
      <c r="G52" s="36"/>
      <c r="H52" s="348">
        <v>11320800</v>
      </c>
    </row>
    <row r="53" spans="1:8" ht="13.5" thickBot="1">
      <c r="A53" s="119" t="s">
        <v>71</v>
      </c>
      <c r="B53" s="120"/>
      <c r="C53" s="121" t="s">
        <v>72</v>
      </c>
      <c r="D53" s="122">
        <v>-6121005</v>
      </c>
      <c r="E53" s="123"/>
      <c r="F53" s="35"/>
      <c r="G53" s="36"/>
      <c r="H53" s="349">
        <v>-11553950.27</v>
      </c>
    </row>
    <row r="54" spans="1:8" ht="13.5" thickBot="1">
      <c r="A54" s="124">
        <v>1001</v>
      </c>
      <c r="B54" s="31" t="s">
        <v>73</v>
      </c>
      <c r="C54" s="125"/>
      <c r="D54" s="111">
        <v>-6968552</v>
      </c>
      <c r="E54" s="126"/>
      <c r="F54" s="35"/>
      <c r="G54" s="36"/>
      <c r="H54" s="350">
        <f>H50+H51</f>
        <v>3350749.3099999893</v>
      </c>
    </row>
    <row r="55" spans="1:8" ht="27" customHeight="1" thickBot="1">
      <c r="A55" s="30"/>
      <c r="B55" s="436" t="s">
        <v>74</v>
      </c>
      <c r="C55" s="436"/>
      <c r="D55" s="127"/>
      <c r="E55" s="128"/>
      <c r="F55" s="35"/>
      <c r="G55" s="36"/>
      <c r="H55" s="351"/>
    </row>
    <row r="56" spans="1:8" ht="13.5" thickBot="1">
      <c r="A56" s="30"/>
      <c r="B56" s="129"/>
      <c r="C56" s="130"/>
      <c r="D56" s="131"/>
      <c r="E56" s="132"/>
      <c r="F56" s="35"/>
      <c r="G56" s="36"/>
      <c r="H56" s="352"/>
    </row>
    <row r="57" spans="1:8" ht="37.5" customHeight="1" thickBot="1">
      <c r="A57" s="30"/>
      <c r="B57" s="437" t="s">
        <v>75</v>
      </c>
      <c r="C57" s="437"/>
      <c r="D57" s="73">
        <v>124879877</v>
      </c>
      <c r="E57" s="73">
        <f>E58+E65+E66+E70+E87+E93+E100+E107+E131+E145</f>
        <v>0</v>
      </c>
      <c r="F57" s="35"/>
      <c r="G57" s="36"/>
      <c r="H57" s="353">
        <f>H58+H65+H66+H70+H87+H93+H100+H107+H131+H145</f>
        <v>95049000.609999985</v>
      </c>
    </row>
    <row r="58" spans="1:8" ht="13.5" thickBot="1">
      <c r="A58" s="133" t="s">
        <v>76</v>
      </c>
      <c r="B58" s="134" t="s">
        <v>77</v>
      </c>
      <c r="C58" s="135"/>
      <c r="D58" s="136">
        <v>8224602</v>
      </c>
      <c r="E58" s="137">
        <f>SUM(E59:E64)</f>
        <v>0</v>
      </c>
      <c r="F58" s="36"/>
      <c r="G58" s="36"/>
      <c r="H58" s="354">
        <f>SUM(H59:H64)</f>
        <v>7420581.5099999998</v>
      </c>
    </row>
    <row r="59" spans="1:8">
      <c r="A59" s="138" t="s">
        <v>78</v>
      </c>
      <c r="B59" s="48" t="s">
        <v>79</v>
      </c>
      <c r="C59" s="44"/>
      <c r="D59" s="139">
        <v>315705</v>
      </c>
      <c r="E59" s="140"/>
      <c r="F59" s="36"/>
      <c r="G59" s="36"/>
      <c r="H59" s="355">
        <v>272893.34000000003</v>
      </c>
    </row>
    <row r="60" spans="1:8">
      <c r="A60" s="138" t="s">
        <v>80</v>
      </c>
      <c r="B60" s="48" t="s">
        <v>81</v>
      </c>
      <c r="C60" s="44"/>
      <c r="D60" s="139">
        <v>5587187</v>
      </c>
      <c r="E60" s="140"/>
      <c r="F60" s="36"/>
      <c r="G60" s="36"/>
      <c r="H60" s="355">
        <v>5470908.8599999994</v>
      </c>
    </row>
    <row r="61" spans="1:8">
      <c r="A61" s="138" t="s">
        <v>82</v>
      </c>
      <c r="B61" s="142" t="s">
        <v>83</v>
      </c>
      <c r="C61" s="63"/>
      <c r="D61" s="139">
        <v>435312</v>
      </c>
      <c r="E61" s="143"/>
      <c r="F61" s="36"/>
      <c r="G61" s="36"/>
      <c r="H61" s="356">
        <v>0</v>
      </c>
    </row>
    <row r="62" spans="1:8">
      <c r="A62" s="138" t="s">
        <v>84</v>
      </c>
      <c r="B62" s="48" t="s">
        <v>85</v>
      </c>
      <c r="C62" s="44"/>
      <c r="D62" s="139">
        <v>319074</v>
      </c>
      <c r="E62" s="140"/>
      <c r="F62" s="36"/>
      <c r="G62" s="36"/>
      <c r="H62" s="355">
        <v>484695.48</v>
      </c>
    </row>
    <row r="63" spans="1:8">
      <c r="A63" s="138" t="s">
        <v>86</v>
      </c>
      <c r="B63" s="48" t="s">
        <v>87</v>
      </c>
      <c r="C63" s="44"/>
      <c r="D63" s="144">
        <v>1476224</v>
      </c>
      <c r="E63" s="145"/>
      <c r="F63" s="36"/>
      <c r="G63" s="36"/>
      <c r="H63" s="357">
        <v>1175649.96</v>
      </c>
    </row>
    <row r="64" spans="1:8" ht="13.5" thickBot="1">
      <c r="A64" s="138"/>
      <c r="B64" s="58" t="s">
        <v>88</v>
      </c>
      <c r="C64" s="146"/>
      <c r="D64" s="147">
        <v>91100</v>
      </c>
      <c r="E64" s="148"/>
      <c r="F64" s="36"/>
      <c r="G64" s="36"/>
      <c r="H64" s="349">
        <v>16433.87</v>
      </c>
    </row>
    <row r="65" spans="1:8" ht="13.5" thickBot="1">
      <c r="A65" s="133" t="s">
        <v>89</v>
      </c>
      <c r="B65" s="134" t="s">
        <v>90</v>
      </c>
      <c r="C65" s="135"/>
      <c r="D65" s="149"/>
      <c r="E65" s="150"/>
      <c r="F65" s="36"/>
      <c r="G65" s="36"/>
      <c r="H65" s="358"/>
    </row>
    <row r="66" spans="1:8" ht="13.5" thickBot="1">
      <c r="A66" s="133" t="s">
        <v>91</v>
      </c>
      <c r="B66" s="134" t="s">
        <v>92</v>
      </c>
      <c r="C66" s="151"/>
      <c r="D66" s="136">
        <v>253177</v>
      </c>
      <c r="E66" s="152">
        <f>SUM(E67:E69)</f>
        <v>0</v>
      </c>
      <c r="F66" s="36"/>
      <c r="G66" s="36"/>
      <c r="H66" s="359">
        <f>SUM(H67:H69)</f>
        <v>253094.36</v>
      </c>
    </row>
    <row r="67" spans="1:8">
      <c r="A67" s="138" t="s">
        <v>93</v>
      </c>
      <c r="B67" s="48" t="s">
        <v>94</v>
      </c>
      <c r="C67" s="153"/>
      <c r="D67" s="139">
        <v>28185</v>
      </c>
      <c r="E67" s="140"/>
      <c r="F67" s="36"/>
      <c r="G67" s="36"/>
      <c r="H67" s="355">
        <v>32155</v>
      </c>
    </row>
    <row r="68" spans="1:8">
      <c r="A68" s="138" t="s">
        <v>95</v>
      </c>
      <c r="B68" s="48" t="s">
        <v>96</v>
      </c>
      <c r="C68" s="153"/>
      <c r="D68" s="139"/>
      <c r="E68" s="140"/>
      <c r="F68" s="36"/>
      <c r="G68" s="36"/>
      <c r="H68" s="355">
        <v>0</v>
      </c>
    </row>
    <row r="69" spans="1:8" ht="13.5" thickBot="1">
      <c r="A69" s="138"/>
      <c r="B69" s="58" t="s">
        <v>97</v>
      </c>
      <c r="C69" s="154"/>
      <c r="D69" s="147">
        <v>224992</v>
      </c>
      <c r="E69" s="148"/>
      <c r="F69" s="36"/>
      <c r="G69" s="36"/>
      <c r="H69" s="349">
        <v>220939.36</v>
      </c>
    </row>
    <row r="70" spans="1:8" ht="13.5" thickBot="1">
      <c r="A70" s="133" t="s">
        <v>98</v>
      </c>
      <c r="B70" s="134" t="s">
        <v>99</v>
      </c>
      <c r="C70" s="151"/>
      <c r="D70" s="136">
        <v>30898463</v>
      </c>
      <c r="E70" s="155">
        <f>SUM(E71:E86)</f>
        <v>0</v>
      </c>
      <c r="F70" s="36"/>
      <c r="G70" s="36"/>
      <c r="H70" s="354">
        <f>SUM(H71:H86)</f>
        <v>12630383.17</v>
      </c>
    </row>
    <row r="71" spans="1:8">
      <c r="A71" s="138" t="s">
        <v>100</v>
      </c>
      <c r="B71" s="48" t="s">
        <v>101</v>
      </c>
      <c r="C71" s="153"/>
      <c r="D71" s="156"/>
      <c r="E71" s="157"/>
      <c r="F71" s="36"/>
      <c r="G71" s="36"/>
      <c r="H71" s="360"/>
    </row>
    <row r="72" spans="1:8">
      <c r="A72" s="138" t="s">
        <v>102</v>
      </c>
      <c r="B72" s="48" t="s">
        <v>103</v>
      </c>
      <c r="C72" s="153"/>
      <c r="D72" s="139">
        <v>241966</v>
      </c>
      <c r="E72" s="140"/>
      <c r="F72" s="36"/>
      <c r="G72" s="36"/>
      <c r="H72" s="355">
        <v>248996.45</v>
      </c>
    </row>
    <row r="73" spans="1:8">
      <c r="A73" s="138" t="s">
        <v>104</v>
      </c>
      <c r="B73" s="48" t="s">
        <v>105</v>
      </c>
      <c r="C73" s="153"/>
      <c r="D73" s="139"/>
      <c r="E73" s="140"/>
      <c r="F73" s="36"/>
      <c r="G73" s="36"/>
      <c r="H73" s="355"/>
    </row>
    <row r="74" spans="1:8">
      <c r="A74" s="138" t="s">
        <v>106</v>
      </c>
      <c r="B74" s="48" t="s">
        <v>107</v>
      </c>
      <c r="C74" s="153"/>
      <c r="D74" s="139"/>
      <c r="E74" s="140"/>
      <c r="F74" s="36"/>
      <c r="G74" s="36"/>
      <c r="H74" s="355"/>
    </row>
    <row r="75" spans="1:8">
      <c r="A75" s="138" t="s">
        <v>108</v>
      </c>
      <c r="B75" s="48" t="s">
        <v>109</v>
      </c>
      <c r="C75" s="153"/>
      <c r="D75" s="139"/>
      <c r="E75" s="140"/>
      <c r="F75" s="36"/>
      <c r="G75" s="36"/>
      <c r="H75" s="355"/>
    </row>
    <row r="76" spans="1:8">
      <c r="A76" s="138" t="s">
        <v>110</v>
      </c>
      <c r="B76" s="48" t="s">
        <v>111</v>
      </c>
      <c r="C76" s="153"/>
      <c r="D76" s="139"/>
      <c r="E76" s="140"/>
      <c r="F76" s="36"/>
      <c r="G76" s="36"/>
      <c r="H76" s="355"/>
    </row>
    <row r="77" spans="1:8">
      <c r="A77" s="138" t="s">
        <v>112</v>
      </c>
      <c r="B77" s="48" t="s">
        <v>113</v>
      </c>
      <c r="C77" s="153"/>
      <c r="D77" s="139">
        <v>19764813</v>
      </c>
      <c r="E77" s="140"/>
      <c r="F77" s="36"/>
      <c r="G77" s="36"/>
      <c r="H77" s="355">
        <v>3304628.3499999996</v>
      </c>
    </row>
    <row r="78" spans="1:8">
      <c r="A78" s="138" t="s">
        <v>114</v>
      </c>
      <c r="B78" s="48" t="s">
        <v>115</v>
      </c>
      <c r="C78" s="153"/>
      <c r="D78" s="139">
        <v>8936124</v>
      </c>
      <c r="E78" s="140"/>
      <c r="F78" s="36"/>
      <c r="G78" s="36"/>
      <c r="H78" s="355">
        <v>7126579.9899999993</v>
      </c>
    </row>
    <row r="79" spans="1:8">
      <c r="A79" s="138" t="s">
        <v>116</v>
      </c>
      <c r="B79" s="48" t="s">
        <v>117</v>
      </c>
      <c r="C79" s="153"/>
      <c r="D79" s="139">
        <v>90000</v>
      </c>
      <c r="E79" s="140"/>
      <c r="F79" s="36"/>
      <c r="G79" s="36"/>
      <c r="H79" s="355">
        <v>7108.15</v>
      </c>
    </row>
    <row r="80" spans="1:8">
      <c r="A80" s="138" t="s">
        <v>118</v>
      </c>
      <c r="B80" s="48" t="s">
        <v>119</v>
      </c>
      <c r="C80" s="153"/>
      <c r="D80" s="139">
        <v>31956</v>
      </c>
      <c r="E80" s="140"/>
      <c r="F80" s="36"/>
      <c r="G80" s="36"/>
      <c r="H80" s="355">
        <v>31956</v>
      </c>
    </row>
    <row r="81" spans="1:8">
      <c r="A81" s="138" t="s">
        <v>120</v>
      </c>
      <c r="B81" s="48" t="s">
        <v>121</v>
      </c>
      <c r="C81" s="153"/>
      <c r="D81" s="139"/>
      <c r="E81" s="140"/>
      <c r="F81" s="36"/>
      <c r="G81" s="36"/>
      <c r="H81" s="355"/>
    </row>
    <row r="82" spans="1:8">
      <c r="A82" s="138" t="s">
        <v>122</v>
      </c>
      <c r="B82" s="48" t="s">
        <v>123</v>
      </c>
      <c r="C82" s="153"/>
      <c r="D82" s="139"/>
      <c r="E82" s="140"/>
      <c r="F82" s="36"/>
      <c r="G82" s="36"/>
      <c r="H82" s="355"/>
    </row>
    <row r="83" spans="1:8">
      <c r="A83" s="138" t="s">
        <v>124</v>
      </c>
      <c r="B83" s="48" t="s">
        <v>125</v>
      </c>
      <c r="C83" s="153"/>
      <c r="D83" s="139">
        <v>148516</v>
      </c>
      <c r="E83" s="140"/>
      <c r="F83" s="36"/>
      <c r="G83" s="36"/>
      <c r="H83" s="355">
        <v>177399.61</v>
      </c>
    </row>
    <row r="84" spans="1:8">
      <c r="A84" s="138" t="s">
        <v>126</v>
      </c>
      <c r="B84" s="48" t="s">
        <v>127</v>
      </c>
      <c r="C84" s="153"/>
      <c r="D84" s="139">
        <v>516922</v>
      </c>
      <c r="E84" s="140"/>
      <c r="F84" s="36"/>
      <c r="G84" s="36"/>
      <c r="H84" s="355">
        <v>602374.05000000005</v>
      </c>
    </row>
    <row r="85" spans="1:8">
      <c r="A85" s="138" t="s">
        <v>128</v>
      </c>
      <c r="B85" s="48" t="s">
        <v>129</v>
      </c>
      <c r="C85" s="153"/>
      <c r="D85" s="139">
        <v>1168166</v>
      </c>
      <c r="E85" s="140"/>
      <c r="F85" s="36"/>
      <c r="G85" s="36"/>
      <c r="H85" s="355">
        <v>1131340.5699999998</v>
      </c>
    </row>
    <row r="86" spans="1:8" ht="13.5" thickBot="1">
      <c r="A86" s="158"/>
      <c r="B86" s="48" t="s">
        <v>130</v>
      </c>
      <c r="C86" s="153"/>
      <c r="D86" s="159"/>
      <c r="E86" s="140"/>
      <c r="F86" s="36"/>
      <c r="G86" s="36"/>
      <c r="H86" s="355"/>
    </row>
    <row r="87" spans="1:8" ht="13.5" thickBot="1">
      <c r="A87" s="133" t="s">
        <v>131</v>
      </c>
      <c r="B87" s="134" t="s">
        <v>132</v>
      </c>
      <c r="C87" s="151"/>
      <c r="D87" s="136">
        <v>4313125</v>
      </c>
      <c r="E87" s="152">
        <f>SUM(E88:E92)</f>
        <v>0</v>
      </c>
      <c r="F87" s="36"/>
      <c r="G87" s="36"/>
      <c r="H87" s="359">
        <f>SUM(H88:H92)</f>
        <v>4656301.7799999993</v>
      </c>
    </row>
    <row r="88" spans="1:8">
      <c r="A88" s="138" t="s">
        <v>133</v>
      </c>
      <c r="B88" s="48" t="s">
        <v>134</v>
      </c>
      <c r="C88" s="153"/>
      <c r="D88" s="139">
        <v>3332956</v>
      </c>
      <c r="E88" s="140"/>
      <c r="F88" s="36"/>
      <c r="G88" s="36"/>
      <c r="H88" s="355">
        <v>4009115.21</v>
      </c>
    </row>
    <row r="89" spans="1:8">
      <c r="A89" s="138" t="s">
        <v>135</v>
      </c>
      <c r="B89" s="48" t="s">
        <v>136</v>
      </c>
      <c r="C89" s="153"/>
      <c r="D89" s="139">
        <v>127823</v>
      </c>
      <c r="E89" s="140"/>
      <c r="F89" s="36"/>
      <c r="G89" s="36"/>
      <c r="H89" s="355">
        <v>127823</v>
      </c>
    </row>
    <row r="90" spans="1:8">
      <c r="A90" s="138" t="s">
        <v>137</v>
      </c>
      <c r="B90" s="48" t="s">
        <v>138</v>
      </c>
      <c r="C90" s="153"/>
      <c r="D90" s="139"/>
      <c r="E90" s="140"/>
      <c r="F90" s="36"/>
      <c r="G90" s="36"/>
      <c r="H90" s="355">
        <v>0</v>
      </c>
    </row>
    <row r="91" spans="1:8">
      <c r="A91" s="138" t="s">
        <v>139</v>
      </c>
      <c r="B91" s="160" t="s">
        <v>140</v>
      </c>
      <c r="C91" s="153"/>
      <c r="D91" s="139">
        <v>816248</v>
      </c>
      <c r="E91" s="140"/>
      <c r="F91" s="36"/>
      <c r="G91" s="36"/>
      <c r="H91" s="355">
        <v>486699.72</v>
      </c>
    </row>
    <row r="92" spans="1:8" ht="13.5" thickBot="1">
      <c r="A92" s="138"/>
      <c r="B92" s="58" t="s">
        <v>141</v>
      </c>
      <c r="C92" s="154"/>
      <c r="D92" s="147">
        <v>36098</v>
      </c>
      <c r="E92" s="148"/>
      <c r="F92" s="36"/>
      <c r="G92" s="36"/>
      <c r="H92" s="349">
        <v>32663.85</v>
      </c>
    </row>
    <row r="93" spans="1:8" ht="13.5" thickBot="1">
      <c r="A93" s="133" t="s">
        <v>142</v>
      </c>
      <c r="B93" s="134" t="s">
        <v>143</v>
      </c>
      <c r="C93" s="151"/>
      <c r="D93" s="136">
        <v>1870223</v>
      </c>
      <c r="E93" s="137">
        <f>SUM(E94:E99)</f>
        <v>0</v>
      </c>
      <c r="F93" s="36"/>
      <c r="G93" s="36"/>
      <c r="H93" s="354">
        <f>SUM(H94:H99)</f>
        <v>1650680.5499999998</v>
      </c>
    </row>
    <row r="94" spans="1:8">
      <c r="A94" s="138" t="s">
        <v>144</v>
      </c>
      <c r="B94" s="48" t="s">
        <v>145</v>
      </c>
      <c r="C94" s="153"/>
      <c r="D94" s="139">
        <v>340094</v>
      </c>
      <c r="E94" s="140"/>
      <c r="F94" s="36"/>
      <c r="G94" s="36"/>
      <c r="H94" s="355">
        <v>267970.57</v>
      </c>
    </row>
    <row r="95" spans="1:8">
      <c r="A95" s="138" t="s">
        <v>146</v>
      </c>
      <c r="B95" s="48" t="s">
        <v>147</v>
      </c>
      <c r="C95" s="153"/>
      <c r="D95" s="139"/>
      <c r="E95" s="140"/>
      <c r="F95" s="36"/>
      <c r="G95" s="36"/>
      <c r="H95" s="355">
        <v>0</v>
      </c>
    </row>
    <row r="96" spans="1:8">
      <c r="A96" s="138" t="s">
        <v>148</v>
      </c>
      <c r="B96" s="48" t="s">
        <v>149</v>
      </c>
      <c r="C96" s="153"/>
      <c r="D96" s="139">
        <v>3451</v>
      </c>
      <c r="E96" s="140"/>
      <c r="F96" s="36"/>
      <c r="G96" s="36"/>
      <c r="H96" s="355">
        <v>2354.2800000000002</v>
      </c>
    </row>
    <row r="97" spans="1:8">
      <c r="A97" s="138" t="s">
        <v>150</v>
      </c>
      <c r="B97" s="48" t="s">
        <v>151</v>
      </c>
      <c r="C97" s="153"/>
      <c r="D97" s="139">
        <v>1003100</v>
      </c>
      <c r="E97" s="140"/>
      <c r="F97" s="36"/>
      <c r="G97" s="36"/>
      <c r="H97" s="355">
        <v>882134.05999999994</v>
      </c>
    </row>
    <row r="98" spans="1:8">
      <c r="A98" s="138" t="s">
        <v>152</v>
      </c>
      <c r="B98" s="48" t="s">
        <v>153</v>
      </c>
      <c r="C98" s="153"/>
      <c r="D98" s="139">
        <v>523578</v>
      </c>
      <c r="E98" s="140"/>
      <c r="F98" s="36"/>
      <c r="G98" s="36"/>
      <c r="H98" s="355">
        <v>498221.64</v>
      </c>
    </row>
    <row r="99" spans="1:8" ht="13.5" thickBot="1">
      <c r="A99" s="138"/>
      <c r="B99" s="58" t="s">
        <v>154</v>
      </c>
      <c r="C99" s="161"/>
      <c r="D99" s="139"/>
      <c r="E99" s="140"/>
      <c r="F99" s="36"/>
      <c r="G99" s="36"/>
      <c r="H99" s="355"/>
    </row>
    <row r="100" spans="1:8" ht="13.5" thickBot="1">
      <c r="A100" s="133" t="s">
        <v>155</v>
      </c>
      <c r="B100" s="134" t="s">
        <v>156</v>
      </c>
      <c r="C100" s="151"/>
      <c r="D100" s="136">
        <v>415596</v>
      </c>
      <c r="E100" s="137">
        <f>SUM(E101:E106)</f>
        <v>0</v>
      </c>
      <c r="F100" s="36"/>
      <c r="G100" s="36"/>
      <c r="H100" s="354">
        <f>SUM(H101:H106)</f>
        <v>393547.15</v>
      </c>
    </row>
    <row r="101" spans="1:8">
      <c r="A101" s="138" t="s">
        <v>157</v>
      </c>
      <c r="B101" s="48" t="s">
        <v>158</v>
      </c>
      <c r="C101" s="153"/>
      <c r="D101" s="139"/>
      <c r="E101" s="140"/>
      <c r="F101" s="36"/>
      <c r="G101" s="36"/>
      <c r="H101" s="355">
        <v>0</v>
      </c>
    </row>
    <row r="102" spans="1:8">
      <c r="A102" s="138" t="s">
        <v>159</v>
      </c>
      <c r="B102" s="48" t="s">
        <v>160</v>
      </c>
      <c r="C102" s="153"/>
      <c r="D102" s="139">
        <v>85833</v>
      </c>
      <c r="E102" s="140"/>
      <c r="F102" s="36"/>
      <c r="G102" s="36"/>
      <c r="H102" s="355">
        <v>78910.77</v>
      </c>
    </row>
    <row r="103" spans="1:8">
      <c r="A103" s="138" t="s">
        <v>161</v>
      </c>
      <c r="B103" s="48" t="s">
        <v>162</v>
      </c>
      <c r="C103" s="153"/>
      <c r="D103" s="139">
        <v>267300</v>
      </c>
      <c r="E103" s="140"/>
      <c r="F103" s="36"/>
      <c r="G103" s="36"/>
      <c r="H103" s="355">
        <v>217297.76</v>
      </c>
    </row>
    <row r="104" spans="1:8">
      <c r="A104" s="138" t="s">
        <v>163</v>
      </c>
      <c r="B104" s="48" t="s">
        <v>164</v>
      </c>
      <c r="C104" s="153"/>
      <c r="D104" s="139">
        <v>38794</v>
      </c>
      <c r="E104" s="140"/>
      <c r="F104" s="36"/>
      <c r="G104" s="36"/>
      <c r="H104" s="355">
        <v>68524.62</v>
      </c>
    </row>
    <row r="105" spans="1:8">
      <c r="A105" s="138" t="s">
        <v>165</v>
      </c>
      <c r="B105" s="48" t="s">
        <v>166</v>
      </c>
      <c r="C105" s="153"/>
      <c r="D105" s="139">
        <v>1300</v>
      </c>
      <c r="E105" s="140"/>
      <c r="F105" s="36"/>
      <c r="G105" s="36"/>
      <c r="H105" s="355">
        <v>3575</v>
      </c>
    </row>
    <row r="106" spans="1:8" ht="13.5" thickBot="1">
      <c r="A106" s="162"/>
      <c r="B106" s="58" t="s">
        <v>167</v>
      </c>
      <c r="C106" s="163"/>
      <c r="D106" s="147">
        <v>22369</v>
      </c>
      <c r="E106" s="148"/>
      <c r="F106" s="36"/>
      <c r="G106" s="36"/>
      <c r="H106" s="349">
        <v>25239</v>
      </c>
    </row>
    <row r="107" spans="1:8" ht="13.5" thickBot="1">
      <c r="A107" s="133" t="s">
        <v>168</v>
      </c>
      <c r="B107" s="134" t="s">
        <v>169</v>
      </c>
      <c r="C107" s="151"/>
      <c r="D107" s="136">
        <v>9348250</v>
      </c>
      <c r="E107" s="137">
        <f>SUM(E108:E130)</f>
        <v>0</v>
      </c>
      <c r="F107" s="36"/>
      <c r="G107" s="36"/>
      <c r="H107" s="354">
        <f>SUM(H108:H130)</f>
        <v>9910758.9700000025</v>
      </c>
    </row>
    <row r="108" spans="1:8">
      <c r="A108" s="138" t="s">
        <v>170</v>
      </c>
      <c r="B108" s="48" t="s">
        <v>171</v>
      </c>
      <c r="C108" s="153"/>
      <c r="D108" s="139">
        <v>1730375</v>
      </c>
      <c r="E108" s="140"/>
      <c r="F108" s="36"/>
      <c r="G108" s="36"/>
      <c r="H108" s="355">
        <v>2553034.06</v>
      </c>
    </row>
    <row r="109" spans="1:8">
      <c r="A109" s="138" t="s">
        <v>172</v>
      </c>
      <c r="B109" s="48" t="s">
        <v>173</v>
      </c>
      <c r="C109" s="153"/>
      <c r="D109" s="139">
        <v>1132739</v>
      </c>
      <c r="E109" s="140"/>
      <c r="F109" s="36"/>
      <c r="G109" s="36"/>
      <c r="H109" s="355">
        <v>1258025.6000000001</v>
      </c>
    </row>
    <row r="110" spans="1:8">
      <c r="A110" s="138" t="s">
        <v>174</v>
      </c>
      <c r="B110" s="48" t="s">
        <v>175</v>
      </c>
      <c r="C110" s="153"/>
      <c r="D110" s="139">
        <v>1653997</v>
      </c>
      <c r="E110" s="140"/>
      <c r="F110" s="36"/>
      <c r="G110" s="36"/>
      <c r="H110" s="355">
        <v>1394374</v>
      </c>
    </row>
    <row r="111" spans="1:8">
      <c r="A111" s="138" t="s">
        <v>176</v>
      </c>
      <c r="B111" s="48" t="s">
        <v>177</v>
      </c>
      <c r="C111" s="153"/>
      <c r="D111" s="139">
        <v>721895</v>
      </c>
      <c r="E111" s="140"/>
      <c r="F111" s="36"/>
      <c r="G111" s="36"/>
      <c r="H111" s="355">
        <v>529784.11</v>
      </c>
    </row>
    <row r="112" spans="1:8">
      <c r="A112" s="138" t="s">
        <v>178</v>
      </c>
      <c r="B112" s="142" t="s">
        <v>179</v>
      </c>
      <c r="C112" s="164"/>
      <c r="D112" s="139">
        <v>76866</v>
      </c>
      <c r="E112" s="140"/>
      <c r="F112" s="36"/>
      <c r="G112" s="36"/>
      <c r="H112" s="355">
        <v>69043.7</v>
      </c>
    </row>
    <row r="113" spans="1:8">
      <c r="A113" s="138" t="s">
        <v>180</v>
      </c>
      <c r="B113" s="48" t="s">
        <v>181</v>
      </c>
      <c r="C113" s="153"/>
      <c r="D113" s="139">
        <v>34064</v>
      </c>
      <c r="E113" s="140"/>
      <c r="F113" s="36"/>
      <c r="G113" s="36"/>
      <c r="H113" s="355">
        <v>31700</v>
      </c>
    </row>
    <row r="114" spans="1:8">
      <c r="A114" s="138" t="s">
        <v>182</v>
      </c>
      <c r="B114" s="48" t="s">
        <v>183</v>
      </c>
      <c r="C114" s="153"/>
      <c r="D114" s="139">
        <v>388671</v>
      </c>
      <c r="E114" s="140"/>
      <c r="F114" s="36"/>
      <c r="G114" s="36"/>
      <c r="H114" s="355">
        <v>393927.03</v>
      </c>
    </row>
    <row r="115" spans="1:8">
      <c r="A115" s="138" t="s">
        <v>184</v>
      </c>
      <c r="B115" s="48" t="s">
        <v>185</v>
      </c>
      <c r="C115" s="153"/>
      <c r="D115" s="139">
        <v>1319230</v>
      </c>
      <c r="E115" s="140"/>
      <c r="F115" s="36"/>
      <c r="G115" s="36"/>
      <c r="H115" s="355">
        <v>1298014.58</v>
      </c>
    </row>
    <row r="116" spans="1:8">
      <c r="A116" s="138" t="s">
        <v>186</v>
      </c>
      <c r="B116" s="48" t="s">
        <v>187</v>
      </c>
      <c r="C116" s="153"/>
      <c r="D116" s="139">
        <v>124503</v>
      </c>
      <c r="E116" s="140"/>
      <c r="F116" s="36"/>
      <c r="G116" s="36"/>
      <c r="H116" s="355">
        <v>124714.57999999999</v>
      </c>
    </row>
    <row r="117" spans="1:8">
      <c r="A117" s="138" t="s">
        <v>188</v>
      </c>
      <c r="B117" s="48" t="s">
        <v>189</v>
      </c>
      <c r="C117" s="153"/>
      <c r="D117" s="139">
        <v>747793</v>
      </c>
      <c r="E117" s="140"/>
      <c r="F117" s="36"/>
      <c r="G117" s="36"/>
      <c r="H117" s="355">
        <v>720548.60000000009</v>
      </c>
    </row>
    <row r="118" spans="1:8">
      <c r="A118" s="138" t="s">
        <v>190</v>
      </c>
      <c r="B118" s="48" t="s">
        <v>191</v>
      </c>
      <c r="C118" s="153"/>
      <c r="D118" s="139">
        <v>110000</v>
      </c>
      <c r="E118" s="140"/>
      <c r="F118" s="36"/>
      <c r="G118" s="36"/>
      <c r="H118" s="355">
        <v>108033</v>
      </c>
    </row>
    <row r="119" spans="1:8">
      <c r="A119" s="138" t="s">
        <v>192</v>
      </c>
      <c r="B119" s="48" t="s">
        <v>193</v>
      </c>
      <c r="C119" s="153"/>
      <c r="D119" s="139"/>
      <c r="E119" s="140"/>
      <c r="F119" s="36"/>
      <c r="G119" s="36"/>
      <c r="H119" s="355">
        <v>0</v>
      </c>
    </row>
    <row r="120" spans="1:8">
      <c r="A120" s="138" t="s">
        <v>194</v>
      </c>
      <c r="B120" s="48" t="s">
        <v>195</v>
      </c>
      <c r="C120" s="153"/>
      <c r="D120" s="139">
        <v>22500</v>
      </c>
      <c r="E120" s="140"/>
      <c r="F120" s="36"/>
      <c r="G120" s="36"/>
      <c r="H120" s="355">
        <v>30678</v>
      </c>
    </row>
    <row r="121" spans="1:8">
      <c r="A121" s="138" t="s">
        <v>196</v>
      </c>
      <c r="B121" s="48" t="s">
        <v>197</v>
      </c>
      <c r="C121" s="153"/>
      <c r="D121" s="139">
        <v>240448</v>
      </c>
      <c r="E121" s="140"/>
      <c r="F121" s="36"/>
      <c r="G121" s="36"/>
      <c r="H121" s="355">
        <v>133791.48000000001</v>
      </c>
    </row>
    <row r="122" spans="1:8">
      <c r="A122" s="138" t="s">
        <v>198</v>
      </c>
      <c r="B122" s="48" t="s">
        <v>199</v>
      </c>
      <c r="C122" s="153"/>
      <c r="D122" s="139">
        <v>635896</v>
      </c>
      <c r="E122" s="140"/>
      <c r="F122" s="36"/>
      <c r="G122" s="36"/>
      <c r="H122" s="355">
        <v>742839.80999999994</v>
      </c>
    </row>
    <row r="123" spans="1:8">
      <c r="A123" s="138" t="s">
        <v>200</v>
      </c>
      <c r="B123" s="48" t="s">
        <v>201</v>
      </c>
      <c r="C123" s="153"/>
      <c r="D123" s="139">
        <v>65951</v>
      </c>
      <c r="E123" s="140"/>
      <c r="F123" s="36"/>
      <c r="G123" s="36"/>
      <c r="H123" s="355">
        <v>98248.4</v>
      </c>
    </row>
    <row r="124" spans="1:8">
      <c r="A124" s="138" t="s">
        <v>202</v>
      </c>
      <c r="B124" s="48" t="s">
        <v>203</v>
      </c>
      <c r="C124" s="153"/>
      <c r="D124" s="139"/>
      <c r="E124" s="140"/>
      <c r="F124" s="36"/>
      <c r="G124" s="36"/>
      <c r="H124" s="355">
        <v>0</v>
      </c>
    </row>
    <row r="125" spans="1:8">
      <c r="A125" s="138" t="s">
        <v>204</v>
      </c>
      <c r="B125" s="48" t="s">
        <v>205</v>
      </c>
      <c r="C125" s="153"/>
      <c r="D125" s="139">
        <v>9203</v>
      </c>
      <c r="E125" s="140"/>
      <c r="F125" s="36"/>
      <c r="G125" s="36"/>
      <c r="H125" s="355">
        <v>9203</v>
      </c>
    </row>
    <row r="126" spans="1:8">
      <c r="A126" s="138" t="s">
        <v>206</v>
      </c>
      <c r="B126" s="142" t="s">
        <v>207</v>
      </c>
      <c r="C126" s="164"/>
      <c r="D126" s="139"/>
      <c r="E126" s="140"/>
      <c r="F126" s="36"/>
      <c r="G126" s="36"/>
      <c r="H126" s="355">
        <v>0</v>
      </c>
    </row>
    <row r="127" spans="1:8">
      <c r="A127" s="138" t="s">
        <v>208</v>
      </c>
      <c r="B127" s="48" t="s">
        <v>209</v>
      </c>
      <c r="C127" s="153"/>
      <c r="D127" s="139">
        <v>5752</v>
      </c>
      <c r="E127" s="140"/>
      <c r="F127" s="36"/>
      <c r="G127" s="36"/>
      <c r="H127" s="355">
        <v>6783</v>
      </c>
    </row>
    <row r="128" spans="1:8">
      <c r="A128" s="138" t="s">
        <v>210</v>
      </c>
      <c r="B128" s="48" t="s">
        <v>211</v>
      </c>
      <c r="C128" s="153"/>
      <c r="D128" s="139">
        <v>1460</v>
      </c>
      <c r="E128" s="140"/>
      <c r="F128" s="36"/>
      <c r="G128" s="36"/>
      <c r="H128" s="355">
        <v>3750</v>
      </c>
    </row>
    <row r="129" spans="1:8">
      <c r="A129" s="138" t="s">
        <v>212</v>
      </c>
      <c r="B129" s="48" t="s">
        <v>213</v>
      </c>
      <c r="C129" s="153"/>
      <c r="D129" s="139">
        <v>326907</v>
      </c>
      <c r="E129" s="140"/>
      <c r="F129" s="36"/>
      <c r="G129" s="36"/>
      <c r="H129" s="355">
        <v>404266.02</v>
      </c>
    </row>
    <row r="130" spans="1:8" ht="13.5" thickBot="1">
      <c r="A130" s="138"/>
      <c r="B130" s="58" t="s">
        <v>214</v>
      </c>
      <c r="C130" s="163"/>
      <c r="D130" s="147"/>
      <c r="E130" s="148"/>
      <c r="F130" s="36"/>
      <c r="G130" s="36"/>
      <c r="H130" s="349">
        <v>0</v>
      </c>
    </row>
    <row r="131" spans="1:8" ht="13.5" thickBot="1">
      <c r="A131" s="133" t="s">
        <v>215</v>
      </c>
      <c r="B131" s="134" t="s">
        <v>216</v>
      </c>
      <c r="C131" s="151"/>
      <c r="D131" s="136">
        <v>61163887</v>
      </c>
      <c r="E131" s="152">
        <f>SUM(E132:E144)</f>
        <v>0</v>
      </c>
      <c r="F131" s="36"/>
      <c r="G131" s="36"/>
      <c r="H131" s="359">
        <f>SUM(H132:H144)</f>
        <v>49693001.049999997</v>
      </c>
    </row>
    <row r="132" spans="1:8">
      <c r="A132" s="138" t="s">
        <v>217</v>
      </c>
      <c r="B132" s="48" t="s">
        <v>218</v>
      </c>
      <c r="C132" s="153"/>
      <c r="D132" s="139">
        <v>16468420</v>
      </c>
      <c r="E132" s="140"/>
      <c r="F132" s="36"/>
      <c r="G132" s="36"/>
      <c r="H132" s="355">
        <v>14162247.960000001</v>
      </c>
    </row>
    <row r="133" spans="1:8">
      <c r="A133" s="138" t="s">
        <v>219</v>
      </c>
      <c r="B133" s="142" t="s">
        <v>220</v>
      </c>
      <c r="C133" s="164"/>
      <c r="D133" s="139"/>
      <c r="E133" s="140"/>
      <c r="F133" s="36"/>
      <c r="G133" s="36"/>
      <c r="H133" s="355">
        <v>5079.32</v>
      </c>
    </row>
    <row r="134" spans="1:8">
      <c r="A134" s="138" t="s">
        <v>221</v>
      </c>
      <c r="B134" s="142" t="s">
        <v>222</v>
      </c>
      <c r="C134" s="164"/>
      <c r="D134" s="139"/>
      <c r="E134" s="140"/>
      <c r="F134" s="36"/>
      <c r="G134" s="36"/>
      <c r="H134" s="355">
        <v>2311.16</v>
      </c>
    </row>
    <row r="135" spans="1:8">
      <c r="A135" s="138" t="s">
        <v>223</v>
      </c>
      <c r="B135" s="142" t="s">
        <v>224</v>
      </c>
      <c r="C135" s="164"/>
      <c r="D135" s="139">
        <v>5043568</v>
      </c>
      <c r="E135" s="140"/>
      <c r="F135" s="36"/>
      <c r="G135" s="36"/>
      <c r="H135" s="355">
        <v>3638172.9900000007</v>
      </c>
    </row>
    <row r="136" spans="1:8">
      <c r="A136" s="138" t="s">
        <v>225</v>
      </c>
      <c r="B136" s="142" t="s">
        <v>226</v>
      </c>
      <c r="C136" s="164"/>
      <c r="D136" s="139">
        <v>19655721</v>
      </c>
      <c r="E136" s="140"/>
      <c r="F136" s="36"/>
      <c r="G136" s="36"/>
      <c r="H136" s="355">
        <v>19832504.290000003</v>
      </c>
    </row>
    <row r="137" spans="1:8">
      <c r="A137" s="138" t="s">
        <v>227</v>
      </c>
      <c r="B137" s="48" t="s">
        <v>228</v>
      </c>
      <c r="C137" s="153"/>
      <c r="D137" s="139">
        <v>809225</v>
      </c>
      <c r="E137" s="140"/>
      <c r="F137" s="36"/>
      <c r="G137" s="36"/>
      <c r="H137" s="355">
        <v>785294.22</v>
      </c>
    </row>
    <row r="138" spans="1:8">
      <c r="A138" s="138" t="s">
        <v>229</v>
      </c>
      <c r="B138" s="48" t="s">
        <v>230</v>
      </c>
      <c r="C138" s="153"/>
      <c r="D138" s="139">
        <v>12596251</v>
      </c>
      <c r="E138" s="140"/>
      <c r="F138" s="36"/>
      <c r="G138" s="36"/>
      <c r="H138" s="355">
        <v>9856202.7299999986</v>
      </c>
    </row>
    <row r="139" spans="1:8">
      <c r="A139" s="138" t="s">
        <v>231</v>
      </c>
      <c r="B139" s="48" t="s">
        <v>232</v>
      </c>
      <c r="C139" s="153"/>
      <c r="D139" s="139">
        <v>64636</v>
      </c>
      <c r="E139" s="140"/>
      <c r="F139" s="36"/>
      <c r="G139" s="36"/>
      <c r="H139" s="355">
        <v>91259</v>
      </c>
    </row>
    <row r="140" spans="1:8">
      <c r="A140" s="138" t="s">
        <v>233</v>
      </c>
      <c r="B140" s="48" t="s">
        <v>234</v>
      </c>
      <c r="C140" s="153"/>
      <c r="D140" s="139">
        <v>627021</v>
      </c>
      <c r="E140" s="140"/>
      <c r="F140" s="36"/>
      <c r="G140" s="36"/>
      <c r="H140" s="355">
        <v>623738.03999999992</v>
      </c>
    </row>
    <row r="141" spans="1:8">
      <c r="A141" s="138" t="s">
        <v>235</v>
      </c>
      <c r="B141" s="48" t="s">
        <v>236</v>
      </c>
      <c r="C141" s="153"/>
      <c r="D141" s="139"/>
      <c r="E141" s="140"/>
      <c r="F141" s="36"/>
      <c r="G141" s="36"/>
      <c r="H141" s="355">
        <v>0</v>
      </c>
    </row>
    <row r="142" spans="1:8">
      <c r="A142" s="138" t="s">
        <v>237</v>
      </c>
      <c r="B142" s="165" t="s">
        <v>238</v>
      </c>
      <c r="C142" s="164"/>
      <c r="D142" s="139">
        <v>197254</v>
      </c>
      <c r="E142" s="140"/>
      <c r="F142" s="36"/>
      <c r="G142" s="36"/>
      <c r="H142" s="355">
        <v>216717.47999999998</v>
      </c>
    </row>
    <row r="143" spans="1:8">
      <c r="A143" s="138" t="s">
        <v>239</v>
      </c>
      <c r="B143" s="165" t="s">
        <v>240</v>
      </c>
      <c r="C143" s="164"/>
      <c r="D143" s="139">
        <v>5701791</v>
      </c>
      <c r="E143" s="140"/>
      <c r="F143" s="36"/>
      <c r="G143" s="36"/>
      <c r="H143" s="355">
        <v>479473.86</v>
      </c>
    </row>
    <row r="144" spans="1:8" ht="13.5" thickBot="1">
      <c r="A144" s="138"/>
      <c r="B144" s="58" t="s">
        <v>241</v>
      </c>
      <c r="C144" s="154"/>
      <c r="D144" s="166"/>
      <c r="E144" s="148"/>
      <c r="F144" s="36"/>
      <c r="G144" s="36"/>
      <c r="H144" s="349">
        <v>0</v>
      </c>
    </row>
    <row r="145" spans="1:8" ht="13.5" thickBot="1">
      <c r="A145" s="133" t="s">
        <v>242</v>
      </c>
      <c r="B145" s="134" t="s">
        <v>243</v>
      </c>
      <c r="C145" s="151"/>
      <c r="D145" s="136">
        <v>8392554</v>
      </c>
      <c r="E145" s="137">
        <f>SUM(E146:E160)</f>
        <v>0</v>
      </c>
      <c r="F145" s="36"/>
      <c r="G145" s="36"/>
      <c r="H145" s="354">
        <f>SUM(H146:H160)</f>
        <v>8440652.0699999984</v>
      </c>
    </row>
    <row r="146" spans="1:8">
      <c r="A146" s="138" t="s">
        <v>244</v>
      </c>
      <c r="B146" s="142" t="s">
        <v>245</v>
      </c>
      <c r="C146" s="164"/>
      <c r="D146" s="139"/>
      <c r="E146" s="140"/>
      <c r="F146" s="36"/>
      <c r="G146" s="36"/>
      <c r="H146" s="355">
        <v>0</v>
      </c>
    </row>
    <row r="147" spans="1:8">
      <c r="A147" s="138" t="s">
        <v>246</v>
      </c>
      <c r="B147" s="48" t="s">
        <v>247</v>
      </c>
      <c r="C147" s="153"/>
      <c r="D147" s="139">
        <v>335704</v>
      </c>
      <c r="E147" s="140"/>
      <c r="F147" s="36"/>
      <c r="G147" s="36"/>
      <c r="H147" s="355">
        <v>340166.69</v>
      </c>
    </row>
    <row r="148" spans="1:8">
      <c r="A148" s="138" t="s">
        <v>248</v>
      </c>
      <c r="B148" s="48" t="s">
        <v>249</v>
      </c>
      <c r="C148" s="153"/>
      <c r="D148" s="139">
        <v>2157012</v>
      </c>
      <c r="E148" s="140"/>
      <c r="F148" s="36"/>
      <c r="G148" s="36"/>
      <c r="H148" s="355">
        <v>1970577.18</v>
      </c>
    </row>
    <row r="149" spans="1:8">
      <c r="A149" s="138" t="s">
        <v>250</v>
      </c>
      <c r="B149" s="48" t="s">
        <v>251</v>
      </c>
      <c r="C149" s="153"/>
      <c r="D149" s="139">
        <v>2171333</v>
      </c>
      <c r="E149" s="140"/>
      <c r="F149" s="36"/>
      <c r="G149" s="36"/>
      <c r="H149" s="355">
        <v>2588704.6599999997</v>
      </c>
    </row>
    <row r="150" spans="1:8">
      <c r="A150" s="138" t="s">
        <v>252</v>
      </c>
      <c r="B150" s="48" t="s">
        <v>253</v>
      </c>
      <c r="C150" s="153"/>
      <c r="D150" s="139">
        <v>60406</v>
      </c>
      <c r="E150" s="140"/>
      <c r="F150" s="36"/>
      <c r="G150" s="36"/>
      <c r="H150" s="355">
        <v>94283.15</v>
      </c>
    </row>
    <row r="151" spans="1:8">
      <c r="A151" s="138" t="s">
        <v>254</v>
      </c>
      <c r="B151" s="142" t="s">
        <v>255</v>
      </c>
      <c r="C151" s="164"/>
      <c r="D151" s="139"/>
      <c r="E151" s="140"/>
      <c r="F151" s="36"/>
      <c r="G151" s="36"/>
      <c r="H151" s="355">
        <v>0</v>
      </c>
    </row>
    <row r="152" spans="1:8">
      <c r="A152" s="138" t="s">
        <v>256</v>
      </c>
      <c r="B152" s="48" t="s">
        <v>257</v>
      </c>
      <c r="C152" s="153"/>
      <c r="D152" s="139">
        <v>448029</v>
      </c>
      <c r="E152" s="140"/>
      <c r="F152" s="36"/>
      <c r="G152" s="36"/>
      <c r="H152" s="355">
        <v>136897.04</v>
      </c>
    </row>
    <row r="153" spans="1:8">
      <c r="A153" s="138" t="s">
        <v>258</v>
      </c>
      <c r="B153" s="48" t="s">
        <v>259</v>
      </c>
      <c r="C153" s="153"/>
      <c r="D153" s="139">
        <v>881354</v>
      </c>
      <c r="E153" s="140"/>
      <c r="F153" s="36"/>
      <c r="G153" s="36"/>
      <c r="H153" s="355">
        <v>280720.55</v>
      </c>
    </row>
    <row r="154" spans="1:8">
      <c r="A154" s="138" t="s">
        <v>260</v>
      </c>
      <c r="B154" s="48" t="s">
        <v>261</v>
      </c>
      <c r="C154" s="153"/>
      <c r="D154" s="139">
        <v>11151</v>
      </c>
      <c r="E154" s="140"/>
      <c r="F154" s="36"/>
      <c r="G154" s="36"/>
      <c r="H154" s="355">
        <v>698846.52</v>
      </c>
    </row>
    <row r="155" spans="1:8">
      <c r="A155" s="138" t="s">
        <v>262</v>
      </c>
      <c r="B155" s="48" t="s">
        <v>263</v>
      </c>
      <c r="C155" s="153"/>
      <c r="D155" s="139"/>
      <c r="E155" s="140"/>
      <c r="F155" s="36"/>
      <c r="G155" s="36"/>
      <c r="H155" s="355">
        <v>9191.01</v>
      </c>
    </row>
    <row r="156" spans="1:8">
      <c r="A156" s="138" t="s">
        <v>264</v>
      </c>
      <c r="B156" s="48" t="s">
        <v>265</v>
      </c>
      <c r="C156" s="153"/>
      <c r="D156" s="139">
        <v>292023</v>
      </c>
      <c r="E156" s="140"/>
      <c r="F156" s="36"/>
      <c r="G156" s="36"/>
      <c r="H156" s="355">
        <v>0</v>
      </c>
    </row>
    <row r="157" spans="1:8">
      <c r="A157" s="138" t="s">
        <v>266</v>
      </c>
      <c r="B157" s="160" t="s">
        <v>267</v>
      </c>
      <c r="C157" s="153"/>
      <c r="D157" s="144">
        <v>1297057</v>
      </c>
      <c r="E157" s="145"/>
      <c r="F157" s="36"/>
      <c r="G157" s="167"/>
      <c r="H157" s="357">
        <v>393556.76</v>
      </c>
    </row>
    <row r="158" spans="1:8">
      <c r="A158" s="138" t="s">
        <v>268</v>
      </c>
      <c r="B158" s="48" t="s">
        <v>269</v>
      </c>
      <c r="C158" s="153"/>
      <c r="D158" s="139">
        <v>724085</v>
      </c>
      <c r="E158" s="140"/>
      <c r="F158" s="36"/>
      <c r="G158" s="36"/>
      <c r="H158" s="355">
        <v>1283608.99</v>
      </c>
    </row>
    <row r="159" spans="1:8">
      <c r="A159" s="138" t="s">
        <v>270</v>
      </c>
      <c r="B159" s="48" t="s">
        <v>271</v>
      </c>
      <c r="C159" s="153"/>
      <c r="D159" s="139">
        <v>14400</v>
      </c>
      <c r="E159" s="140"/>
      <c r="F159" s="36"/>
      <c r="G159" s="36"/>
      <c r="H159" s="355">
        <v>644099.52</v>
      </c>
    </row>
    <row r="160" spans="1:8" ht="13.5" thickBot="1">
      <c r="A160" s="168"/>
      <c r="B160" s="48" t="s">
        <v>272</v>
      </c>
      <c r="C160" s="153"/>
      <c r="D160" s="139"/>
      <c r="E160" s="140"/>
      <c r="F160" s="36"/>
      <c r="G160" s="36"/>
      <c r="H160" s="141"/>
    </row>
    <row r="161" spans="1:9" ht="13.5" thickBot="1">
      <c r="A161" s="169"/>
      <c r="B161" s="170"/>
      <c r="C161" s="171"/>
      <c r="D161" s="172"/>
      <c r="E161" s="173"/>
      <c r="F161" s="35"/>
      <c r="G161" s="36"/>
      <c r="H161" s="141"/>
    </row>
    <row r="162" spans="1:9" ht="22.5" thickBot="1">
      <c r="A162" s="24"/>
      <c r="B162" s="174" t="s">
        <v>273</v>
      </c>
      <c r="C162" s="174"/>
      <c r="D162" s="175" t="s">
        <v>274</v>
      </c>
      <c r="E162" s="176" t="s">
        <v>275</v>
      </c>
      <c r="H162" s="176" t="s">
        <v>275</v>
      </c>
    </row>
    <row r="163" spans="1:9">
      <c r="A163" s="177"/>
      <c r="B163" s="178" t="s">
        <v>276</v>
      </c>
      <c r="C163" s="179"/>
      <c r="D163" s="85">
        <v>47912828.109999999</v>
      </c>
      <c r="E163" s="86"/>
      <c r="F163" s="35"/>
      <c r="G163" s="36"/>
      <c r="H163" s="86">
        <v>45647987.109999999</v>
      </c>
    </row>
    <row r="164" spans="1:9">
      <c r="A164" s="177"/>
      <c r="B164" s="180"/>
      <c r="C164" s="181" t="s">
        <v>277</v>
      </c>
      <c r="D164" s="80"/>
      <c r="E164" s="57"/>
      <c r="F164" s="35"/>
      <c r="G164" s="36"/>
      <c r="H164" s="57"/>
    </row>
    <row r="165" spans="1:9" ht="13.5" thickBot="1">
      <c r="A165" s="182"/>
      <c r="B165" s="183" t="s">
        <v>278</v>
      </c>
      <c r="C165" s="184"/>
      <c r="D165" s="185"/>
      <c r="E165" s="186"/>
      <c r="F165" s="35"/>
      <c r="G165" s="36"/>
      <c r="H165" s="186">
        <v>7384780.235695105</v>
      </c>
    </row>
    <row r="166" spans="1:9">
      <c r="A166" s="187" t="s">
        <v>279</v>
      </c>
      <c r="B166" s="188"/>
      <c r="D166" s="189"/>
      <c r="E166" s="189"/>
      <c r="F166" s="2"/>
      <c r="H166" s="189"/>
    </row>
    <row r="167" spans="1:9">
      <c r="A167" s="187" t="s">
        <v>280</v>
      </c>
      <c r="B167" s="188"/>
      <c r="D167" s="189"/>
      <c r="E167" s="189"/>
      <c r="F167" s="2"/>
      <c r="H167" s="189"/>
    </row>
    <row r="168" spans="1:9">
      <c r="A168" s="190" t="s">
        <v>281</v>
      </c>
      <c r="B168" s="191"/>
      <c r="D168" s="192"/>
      <c r="E168" s="193">
        <f>IF(E163-E165&lt;0,0,E163-E165)/D8</f>
        <v>0</v>
      </c>
      <c r="F168" s="190"/>
      <c r="H168" s="193">
        <f>IF(H163-H165&lt;0,0,H163-H165)/H8</f>
        <v>0.41630064048237725</v>
      </c>
    </row>
    <row r="169" spans="1:9">
      <c r="A169" s="1" t="s">
        <v>282</v>
      </c>
      <c r="D169" s="194">
        <f>D50+D51-D54+D55</f>
        <v>0</v>
      </c>
      <c r="E169" s="194">
        <f>E50+E51-E54+E55</f>
        <v>0</v>
      </c>
      <c r="F169" s="2"/>
      <c r="H169" s="194">
        <f>H50+H51-H54+H55</f>
        <v>0</v>
      </c>
    </row>
    <row r="170" spans="1:9">
      <c r="A170" s="195" t="s">
        <v>283</v>
      </c>
      <c r="B170"/>
      <c r="C170"/>
      <c r="D170" s="196" t="str">
        <f>IF(ROUND(D165+E54,2)=ROUND(E165,2),"OK",CONCATENATE("Vahe=",ROUND(D165+E54-E165,2)))</f>
        <v>OK</v>
      </c>
      <c r="E170" s="197"/>
      <c r="F170" s="2"/>
      <c r="H170" s="197"/>
    </row>
    <row r="171" spans="1:9">
      <c r="A171" s="195" t="s">
        <v>284</v>
      </c>
      <c r="B171"/>
      <c r="C171"/>
      <c r="D171" s="198" t="str">
        <f>IF(ROUND(SUM(D26-D39-D41-D43-D45-D47-D49),2)=ROUND(D57,2),"OK",CONCATENATE("Vahe=",ROUND(SUM(D26-D39-D41-D43-D45-D47-D49)-D57,2)))</f>
        <v>OK</v>
      </c>
      <c r="E171" s="198" t="str">
        <f>IF(ROUND(SUM(E26-E39-E41-E43-E45-E47-E49),2)=ROUND(E57,2),"OK",CONCATENATE("Vahe=",ROUND(SUM(E26-E39-E41-E43-E45-E47-E49)-E57,2)))</f>
        <v>OK</v>
      </c>
      <c r="F171" s="198"/>
      <c r="G171" s="198"/>
      <c r="H171" s="198" t="str">
        <f>IF(ROUND(SUM(H26-H39-H41-H43-H45-H47-H49),2)=ROUND(H57,2),"OK",CONCATENATE("Vahe=",ROUND(SUM(H26-H39-H41-H43-H45-H47-H49)-H57,2)))</f>
        <v>Vahe=651,9</v>
      </c>
      <c r="I171" s="199"/>
    </row>
    <row r="172" spans="1:9">
      <c r="A172" s="200"/>
      <c r="B172"/>
      <c r="C172"/>
      <c r="D172" s="201"/>
      <c r="E172" s="197"/>
      <c r="F172" s="2"/>
      <c r="H172" s="197"/>
    </row>
    <row r="173" spans="1:9">
      <c r="A173" s="200"/>
      <c r="B173"/>
      <c r="C173"/>
      <c r="D173" s="202"/>
      <c r="E173"/>
      <c r="G173"/>
      <c r="H173"/>
    </row>
    <row r="174" spans="1:9">
      <c r="A174"/>
      <c r="B174"/>
      <c r="C174"/>
      <c r="D174"/>
      <c r="E174"/>
      <c r="G174"/>
      <c r="H174"/>
    </row>
    <row r="175" spans="1:9">
      <c r="A175"/>
      <c r="B175"/>
      <c r="C175"/>
      <c r="D175"/>
      <c r="E175"/>
      <c r="G175"/>
      <c r="H175"/>
    </row>
    <row r="176" spans="1:9">
      <c r="A176"/>
      <c r="B176"/>
      <c r="C176"/>
      <c r="D176"/>
      <c r="E176"/>
      <c r="G176"/>
      <c r="H176"/>
    </row>
    <row r="177" spans="1:8">
      <c r="A177"/>
      <c r="B177"/>
      <c r="C177"/>
      <c r="D177"/>
      <c r="E177"/>
      <c r="G177"/>
      <c r="H177"/>
    </row>
    <row r="178" spans="1:8">
      <c r="A178"/>
      <c r="B178"/>
      <c r="C178"/>
      <c r="D178"/>
      <c r="E178"/>
      <c r="G178"/>
      <c r="H178"/>
    </row>
    <row r="179" spans="1:8">
      <c r="A179"/>
      <c r="B179"/>
      <c r="C179"/>
      <c r="D179"/>
      <c r="E179"/>
      <c r="G179"/>
      <c r="H179"/>
    </row>
    <row r="180" spans="1:8">
      <c r="A180"/>
      <c r="B180"/>
      <c r="C180"/>
      <c r="D180"/>
      <c r="E180"/>
      <c r="G180"/>
      <c r="H180"/>
    </row>
    <row r="181" spans="1:8">
      <c r="A181"/>
      <c r="B181"/>
      <c r="C181"/>
      <c r="D181"/>
      <c r="E181"/>
      <c r="G181"/>
      <c r="H181"/>
    </row>
    <row r="182" spans="1:8">
      <c r="E182" s="3"/>
    </row>
    <row r="183" spans="1:8">
      <c r="E183" s="3"/>
    </row>
    <row r="184" spans="1:8">
      <c r="E184" s="3"/>
    </row>
    <row r="185" spans="1:8">
      <c r="E185" s="3"/>
    </row>
    <row r="186" spans="1:8">
      <c r="E186" s="3"/>
    </row>
    <row r="187" spans="1:8">
      <c r="E187" s="3"/>
    </row>
    <row r="188" spans="1:8">
      <c r="E188" s="3"/>
    </row>
    <row r="189" spans="1:8">
      <c r="E189" s="3"/>
    </row>
    <row r="190" spans="1:8">
      <c r="E190" s="3"/>
    </row>
    <row r="191" spans="1:8">
      <c r="D191" s="2"/>
      <c r="E191" s="3"/>
    </row>
    <row r="192" spans="1:8">
      <c r="D192" s="2"/>
      <c r="E192" s="3"/>
    </row>
    <row r="193" spans="4:5">
      <c r="D193" s="2"/>
      <c r="E193" s="3"/>
    </row>
    <row r="194" spans="4:5">
      <c r="D194" s="2"/>
      <c r="E194" s="3"/>
    </row>
    <row r="195" spans="4:5">
      <c r="D195" s="2"/>
      <c r="E195" s="3"/>
    </row>
    <row r="196" spans="4:5">
      <c r="D196" s="2"/>
      <c r="E196" s="3"/>
    </row>
    <row r="197" spans="4:5">
      <c r="D197" s="2"/>
      <c r="E197" s="3"/>
    </row>
    <row r="198" spans="4:5">
      <c r="D198" s="2"/>
      <c r="E198" s="3"/>
    </row>
    <row r="199" spans="4:5">
      <c r="D199" s="2"/>
      <c r="E199" s="3"/>
    </row>
    <row r="200" spans="4:5">
      <c r="D200" s="2"/>
      <c r="E200" s="3"/>
    </row>
    <row r="201" spans="4:5">
      <c r="D201" s="2"/>
      <c r="E201" s="3"/>
    </row>
    <row r="202" spans="4:5">
      <c r="D202" s="2"/>
      <c r="E202" s="3"/>
    </row>
    <row r="203" spans="4:5">
      <c r="D203" s="2"/>
      <c r="E203" s="3"/>
    </row>
    <row r="204" spans="4:5">
      <c r="D204" s="2"/>
      <c r="E204" s="3"/>
    </row>
    <row r="205" spans="4:5">
      <c r="D205" s="2"/>
      <c r="E205" s="3"/>
    </row>
    <row r="206" spans="4:5">
      <c r="D206" s="2"/>
      <c r="E206" s="3"/>
    </row>
    <row r="207" spans="4:5">
      <c r="D207" s="2"/>
      <c r="E207" s="3"/>
    </row>
    <row r="208" spans="4:5">
      <c r="D208" s="2"/>
      <c r="E208" s="3"/>
    </row>
    <row r="209" spans="4:5">
      <c r="D209" s="2"/>
      <c r="E209" s="3"/>
    </row>
    <row r="210" spans="4:5">
      <c r="D210" s="2"/>
      <c r="E210" s="3"/>
    </row>
    <row r="211" spans="4:5">
      <c r="D211" s="2"/>
      <c r="E211" s="3"/>
    </row>
    <row r="212" spans="4:5">
      <c r="D212" s="2"/>
      <c r="E212" s="3"/>
    </row>
    <row r="213" spans="4:5">
      <c r="D213" s="2"/>
      <c r="E213" s="3"/>
    </row>
    <row r="214" spans="4:5">
      <c r="D214" s="2"/>
      <c r="E214" s="3"/>
    </row>
    <row r="215" spans="4:5">
      <c r="D215" s="2"/>
      <c r="E215" s="3"/>
    </row>
    <row r="216" spans="4:5">
      <c r="D216" s="2"/>
      <c r="E216" s="3"/>
    </row>
    <row r="217" spans="4:5">
      <c r="D217" s="2"/>
      <c r="E217" s="3"/>
    </row>
    <row r="218" spans="4:5">
      <c r="D218" s="2"/>
      <c r="E218" s="3"/>
    </row>
    <row r="219" spans="4:5">
      <c r="D219" s="2"/>
      <c r="E219" s="3"/>
    </row>
    <row r="220" spans="4:5">
      <c r="D220" s="2"/>
      <c r="E220" s="3"/>
    </row>
    <row r="221" spans="4:5">
      <c r="D221" s="2"/>
      <c r="E221" s="3"/>
    </row>
    <row r="222" spans="4:5">
      <c r="D222" s="2"/>
      <c r="E222" s="3"/>
    </row>
    <row r="223" spans="4:5">
      <c r="D223" s="2"/>
      <c r="E223" s="3"/>
    </row>
    <row r="224" spans="4:5">
      <c r="D224" s="2"/>
      <c r="E224" s="3"/>
    </row>
    <row r="225" spans="4:5">
      <c r="D225" s="2"/>
      <c r="E225" s="3"/>
    </row>
    <row r="226" spans="4:5">
      <c r="D226" s="2"/>
      <c r="E226" s="3"/>
    </row>
    <row r="227" spans="4:5">
      <c r="D227" s="2"/>
      <c r="E227" s="3"/>
    </row>
    <row r="228" spans="4:5">
      <c r="D228" s="2"/>
      <c r="E228" s="3"/>
    </row>
    <row r="229" spans="4:5">
      <c r="D229" s="2"/>
      <c r="E229" s="3"/>
    </row>
    <row r="230" spans="4:5">
      <c r="D230" s="2"/>
      <c r="E230" s="3"/>
    </row>
    <row r="231" spans="4:5">
      <c r="D231" s="2"/>
      <c r="E231" s="3"/>
    </row>
    <row r="232" spans="4:5">
      <c r="D232" s="2"/>
      <c r="E232" s="3"/>
    </row>
    <row r="233" spans="4:5">
      <c r="D233" s="2"/>
      <c r="E233" s="3"/>
    </row>
    <row r="234" spans="4:5">
      <c r="D234" s="2"/>
      <c r="E234" s="3"/>
    </row>
    <row r="235" spans="4:5">
      <c r="D235" s="2"/>
      <c r="E235" s="3"/>
    </row>
    <row r="236" spans="4:5">
      <c r="D236" s="2"/>
      <c r="E236" s="3"/>
    </row>
    <row r="237" spans="4:5">
      <c r="D237" s="2"/>
      <c r="E237" s="3"/>
    </row>
    <row r="238" spans="4:5">
      <c r="D238" s="2"/>
      <c r="E238" s="3"/>
    </row>
    <row r="239" spans="4:5">
      <c r="D239" s="2"/>
      <c r="E239" s="3"/>
    </row>
    <row r="240" spans="4:5">
      <c r="D240" s="2"/>
      <c r="E240" s="3"/>
    </row>
    <row r="241" spans="4:5">
      <c r="D241" s="2"/>
      <c r="E241" s="3"/>
    </row>
    <row r="242" spans="4:5">
      <c r="D242" s="2"/>
      <c r="E242" s="3"/>
    </row>
    <row r="243" spans="4:5">
      <c r="D243" s="2"/>
      <c r="E243" s="3"/>
    </row>
    <row r="244" spans="4:5">
      <c r="D244" s="2"/>
      <c r="E244" s="3"/>
    </row>
    <row r="245" spans="4:5">
      <c r="D245" s="2"/>
      <c r="E245" s="3"/>
    </row>
    <row r="246" spans="4:5">
      <c r="D246" s="2"/>
      <c r="E246" s="3"/>
    </row>
    <row r="247" spans="4:5">
      <c r="D247" s="2"/>
      <c r="E247" s="3"/>
    </row>
    <row r="248" spans="4:5">
      <c r="D248" s="2"/>
      <c r="E248" s="3"/>
    </row>
    <row r="249" spans="4:5">
      <c r="D249" s="2"/>
      <c r="E249" s="3"/>
    </row>
    <row r="250" spans="4:5">
      <c r="D250" s="2"/>
      <c r="E250" s="3"/>
    </row>
    <row r="251" spans="4:5">
      <c r="D251" s="2"/>
      <c r="E251" s="3"/>
    </row>
    <row r="252" spans="4:5">
      <c r="D252" s="2"/>
      <c r="E252" s="3"/>
    </row>
    <row r="253" spans="4:5">
      <c r="D253" s="2"/>
      <c r="E253" s="3"/>
    </row>
    <row r="254" spans="4:5">
      <c r="D254" s="2"/>
      <c r="E254" s="3"/>
    </row>
    <row r="255" spans="4:5">
      <c r="D255" s="2"/>
      <c r="E255" s="3"/>
    </row>
    <row r="256" spans="4:5">
      <c r="D256" s="2"/>
      <c r="E256" s="3"/>
    </row>
    <row r="257" spans="4:5">
      <c r="D257" s="2"/>
      <c r="E257" s="3"/>
    </row>
    <row r="258" spans="4:5">
      <c r="D258" s="2"/>
      <c r="E258" s="3"/>
    </row>
    <row r="259" spans="4:5">
      <c r="D259" s="2"/>
      <c r="E259" s="3"/>
    </row>
    <row r="260" spans="4:5">
      <c r="D260" s="2"/>
      <c r="E260" s="3"/>
    </row>
    <row r="261" spans="4:5">
      <c r="D261" s="2"/>
      <c r="E261" s="3"/>
    </row>
    <row r="262" spans="4:5">
      <c r="D262" s="2"/>
      <c r="E262" s="3"/>
    </row>
    <row r="263" spans="4:5">
      <c r="D263" s="2"/>
      <c r="E263" s="3"/>
    </row>
    <row r="264" spans="4:5">
      <c r="D264" s="2"/>
      <c r="E264" s="3"/>
    </row>
    <row r="265" spans="4:5">
      <c r="D265" s="2"/>
      <c r="E265" s="3"/>
    </row>
    <row r="266" spans="4:5">
      <c r="D266" s="2"/>
      <c r="E266" s="3"/>
    </row>
    <row r="267" spans="4:5">
      <c r="D267" s="2"/>
      <c r="E267" s="3"/>
    </row>
    <row r="268" spans="4:5">
      <c r="D268" s="2"/>
      <c r="E268" s="3"/>
    </row>
    <row r="269" spans="4:5">
      <c r="D269" s="2"/>
      <c r="E269" s="3"/>
    </row>
    <row r="270" spans="4:5">
      <c r="D270" s="2"/>
      <c r="E270" s="3"/>
    </row>
    <row r="271" spans="4:5">
      <c r="D271" s="2"/>
      <c r="E271" s="3"/>
    </row>
    <row r="272" spans="4:5">
      <c r="D272" s="2"/>
      <c r="E272" s="3"/>
    </row>
    <row r="273" spans="4:5">
      <c r="D273" s="2"/>
      <c r="E273" s="3"/>
    </row>
    <row r="274" spans="4:5">
      <c r="D274" s="2"/>
      <c r="E274" s="3"/>
    </row>
    <row r="275" spans="4:5">
      <c r="D275" s="2"/>
      <c r="E275" s="3"/>
    </row>
    <row r="276" spans="4:5">
      <c r="D276" s="2"/>
      <c r="E276" s="3"/>
    </row>
    <row r="277" spans="4:5">
      <c r="D277" s="2"/>
      <c r="E277" s="3"/>
    </row>
    <row r="278" spans="4:5">
      <c r="D278" s="2"/>
      <c r="E278" s="3"/>
    </row>
    <row r="279" spans="4:5">
      <c r="D279" s="2"/>
      <c r="E279" s="3"/>
    </row>
    <row r="280" spans="4:5">
      <c r="D280" s="2"/>
      <c r="E280" s="3"/>
    </row>
    <row r="281" spans="4:5">
      <c r="D281" s="2"/>
      <c r="E281" s="3"/>
    </row>
    <row r="282" spans="4:5">
      <c r="D282" s="2"/>
      <c r="E282" s="3"/>
    </row>
    <row r="283" spans="4:5">
      <c r="D283" s="2"/>
      <c r="E283" s="3"/>
    </row>
    <row r="284" spans="4:5">
      <c r="D284" s="2"/>
      <c r="E284" s="3"/>
    </row>
    <row r="285" spans="4:5">
      <c r="D285" s="2"/>
      <c r="E285" s="3"/>
    </row>
    <row r="286" spans="4:5">
      <c r="D286" s="2"/>
      <c r="E286" s="3"/>
    </row>
    <row r="287" spans="4:5">
      <c r="D287" s="2"/>
      <c r="E287" s="3"/>
    </row>
    <row r="288" spans="4:5">
      <c r="D288" s="2"/>
      <c r="E288" s="3"/>
    </row>
    <row r="289" spans="4:5">
      <c r="D289" s="2"/>
      <c r="E289" s="3"/>
    </row>
    <row r="290" spans="4:5">
      <c r="D290" s="2"/>
      <c r="E290" s="3"/>
    </row>
    <row r="291" spans="4:5">
      <c r="D291" s="2"/>
      <c r="E291" s="3"/>
    </row>
    <row r="292" spans="4:5">
      <c r="D292" s="2"/>
      <c r="E292" s="3"/>
    </row>
    <row r="293" spans="4:5">
      <c r="D293" s="2"/>
      <c r="E293" s="3"/>
    </row>
    <row r="294" spans="4:5">
      <c r="D294" s="2"/>
      <c r="E294" s="3"/>
    </row>
    <row r="295" spans="4:5">
      <c r="D295" s="2"/>
      <c r="E295" s="3"/>
    </row>
    <row r="296" spans="4:5">
      <c r="D296" s="2"/>
      <c r="E296" s="3"/>
    </row>
    <row r="297" spans="4:5">
      <c r="D297" s="2"/>
      <c r="E297" s="3"/>
    </row>
    <row r="298" spans="4:5">
      <c r="D298" s="2"/>
      <c r="E298" s="3"/>
    </row>
    <row r="299" spans="4:5">
      <c r="D299" s="2"/>
      <c r="E299" s="3"/>
    </row>
    <row r="300" spans="4:5">
      <c r="D300" s="2"/>
      <c r="E300" s="3"/>
    </row>
    <row r="301" spans="4:5">
      <c r="D301" s="2"/>
      <c r="E301" s="3"/>
    </row>
  </sheetData>
  <sheetProtection selectLockedCells="1" selectUnlockedCells="1"/>
  <mergeCells count="3">
    <mergeCell ref="B55:C55"/>
    <mergeCell ref="B57:C57"/>
    <mergeCell ref="A1:H1"/>
  </mergeCells>
  <conditionalFormatting sqref="D36:E36 H36">
    <cfRule type="cellIs" dxfId="3" priority="2" stopIfTrue="1" operator="lessThan">
      <formula>0</formula>
    </cfRule>
  </conditionalFormatting>
  <conditionalFormatting sqref="H36">
    <cfRule type="cellIs" dxfId="2" priority="1" stopIfTrue="1" operator="lessThan">
      <formula>0</formula>
    </cfRule>
  </conditionalFormatting>
  <pageMargins left="0.74803149606299213" right="0.74803149606299213" top="0.59055118110236227" bottom="0.39370078740157483" header="0.51181102362204722" footer="0.51181102362204722"/>
  <pageSetup paperSize="9" scale="75" firstPageNumber="0" fitToHeight="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zoomScale="120" zoomScaleNormal="120" workbookViewId="0">
      <pane xSplit="1" ySplit="3" topLeftCell="B4" activePane="bottomRight" state="frozen"/>
      <selection sqref="A1:XFD1"/>
      <selection pane="topRight" sqref="A1:XFD1"/>
      <selection pane="bottomLeft" sqref="A1:XFD1"/>
      <selection pane="bottomRight" activeCell="A7" sqref="A7"/>
    </sheetView>
  </sheetViews>
  <sheetFormatPr defaultRowHeight="12.75"/>
  <cols>
    <col min="1" max="1" width="45.7109375" customWidth="1"/>
    <col min="2" max="2" width="11.28515625" bestFit="1" customWidth="1"/>
    <col min="3" max="3" width="11.28515625" customWidth="1"/>
    <col min="4" max="5" width="11.42578125" customWidth="1"/>
    <col min="6" max="7" width="11.7109375" bestFit="1" customWidth="1"/>
    <col min="8" max="8" width="12.85546875" style="328" bestFit="1" customWidth="1"/>
    <col min="9" max="9" width="9.7109375" customWidth="1"/>
    <col min="10" max="10" width="8.7109375" customWidth="1"/>
  </cols>
  <sheetData>
    <row r="1" spans="1:10" ht="15.75">
      <c r="A1" s="440" t="s">
        <v>413</v>
      </c>
      <c r="B1" s="440"/>
      <c r="C1" s="440"/>
      <c r="D1" s="440"/>
      <c r="E1" s="440"/>
      <c r="F1" s="440"/>
      <c r="G1" s="440"/>
      <c r="H1" s="440"/>
    </row>
    <row r="2" spans="1:10" ht="13.5" thickBot="1"/>
    <row r="3" spans="1:10" ht="48" customHeight="1" thickBot="1">
      <c r="A3" s="361" t="s">
        <v>383</v>
      </c>
      <c r="B3" s="362" t="s">
        <v>384</v>
      </c>
      <c r="C3" s="362" t="s">
        <v>385</v>
      </c>
      <c r="D3" s="362">
        <v>2013</v>
      </c>
      <c r="E3" s="362">
        <v>2014</v>
      </c>
      <c r="F3" s="363">
        <v>2015</v>
      </c>
      <c r="G3" s="364">
        <v>2016</v>
      </c>
      <c r="H3" s="365">
        <v>2017</v>
      </c>
    </row>
    <row r="4" spans="1:10" ht="15" customHeight="1">
      <c r="A4" s="203" t="s">
        <v>285</v>
      </c>
      <c r="B4" s="204">
        <f t="shared" ref="B4:H4" si="0">B5+B9+B10+B14</f>
        <v>91912438.159999996</v>
      </c>
      <c r="C4" s="204">
        <f t="shared" si="0"/>
        <v>91716831</v>
      </c>
      <c r="D4" s="204">
        <f t="shared" si="0"/>
        <v>95778895.760000005</v>
      </c>
      <c r="E4" s="204">
        <f t="shared" si="0"/>
        <v>99351191.614519998</v>
      </c>
      <c r="F4" s="204">
        <f t="shared" si="0"/>
        <v>103144721.20911205</v>
      </c>
      <c r="G4" s="366">
        <f t="shared" si="0"/>
        <v>107375954.66975805</v>
      </c>
      <c r="H4" s="377">
        <f t="shared" si="0"/>
        <v>110007970.99383967</v>
      </c>
    </row>
    <row r="5" spans="1:10">
      <c r="A5" s="205" t="s">
        <v>286</v>
      </c>
      <c r="B5" s="206">
        <f t="shared" ref="B5:H5" si="1">SUM(B6:B8)</f>
        <v>48627321.299999997</v>
      </c>
      <c r="C5" s="206">
        <f t="shared" si="1"/>
        <v>49134100</v>
      </c>
      <c r="D5" s="206">
        <f t="shared" si="1"/>
        <v>52593714</v>
      </c>
      <c r="E5" s="206">
        <f t="shared" si="1"/>
        <v>55607538</v>
      </c>
      <c r="F5" s="206">
        <f t="shared" si="1"/>
        <v>58827517</v>
      </c>
      <c r="G5" s="211">
        <f t="shared" si="1"/>
        <v>62469714</v>
      </c>
      <c r="H5" s="378">
        <f t="shared" si="1"/>
        <v>64510233</v>
      </c>
    </row>
    <row r="6" spans="1:10">
      <c r="A6" s="205" t="s">
        <v>287</v>
      </c>
      <c r="B6" s="208">
        <f>'1.1 Eelarvearuanne 08.06.'!H10</f>
        <v>47002232</v>
      </c>
      <c r="C6" s="208">
        <f>'1.1 Eelarvearuanne 08.06.'!D10</f>
        <v>47592000</v>
      </c>
      <c r="D6" s="209">
        <v>51051614</v>
      </c>
      <c r="E6" s="209">
        <v>54065438</v>
      </c>
      <c r="F6" s="209">
        <v>57285417</v>
      </c>
      <c r="G6" s="367">
        <v>60927614</v>
      </c>
      <c r="H6" s="379">
        <v>62968133</v>
      </c>
    </row>
    <row r="7" spans="1:10">
      <c r="A7" s="205" t="s">
        <v>288</v>
      </c>
      <c r="B7" s="208">
        <f>'1.1 Eelarvearuanne 08.06.'!H11</f>
        <v>899722</v>
      </c>
      <c r="C7" s="208">
        <f>'1.1 Eelarvearuanne 08.06.'!D11</f>
        <v>850000</v>
      </c>
      <c r="D7" s="209">
        <f>C7</f>
        <v>850000</v>
      </c>
      <c r="E7" s="209">
        <f>D7</f>
        <v>850000</v>
      </c>
      <c r="F7" s="209">
        <f t="shared" ref="F7:H7" si="2">E7</f>
        <v>850000</v>
      </c>
      <c r="G7" s="209">
        <f t="shared" si="2"/>
        <v>850000</v>
      </c>
      <c r="H7" s="209">
        <f t="shared" si="2"/>
        <v>850000</v>
      </c>
    </row>
    <row r="8" spans="1:10">
      <c r="A8" s="205" t="s">
        <v>289</v>
      </c>
      <c r="B8" s="208">
        <f>'1.1 Eelarvearuanne 08.06.'!H9-'1.1 Eelarvearuanne 08.06.'!H10-'1.1 Eelarvearuanne 08.06.'!H11</f>
        <v>725367.29999999702</v>
      </c>
      <c r="C8" s="208">
        <f>'1.1 Eelarvearuanne 08.06.'!D9-'1.1 Eelarvearuanne 08.06.'!D10-'1.1 Eelarvearuanne 08.06.'!D11</f>
        <v>692100</v>
      </c>
      <c r="D8" s="209">
        <f>C8</f>
        <v>692100</v>
      </c>
      <c r="E8" s="209">
        <f>D8</f>
        <v>692100</v>
      </c>
      <c r="F8" s="209">
        <f t="shared" ref="F8:H8" si="3">E8</f>
        <v>692100</v>
      </c>
      <c r="G8" s="209">
        <f t="shared" si="3"/>
        <v>692100</v>
      </c>
      <c r="H8" s="209">
        <f t="shared" si="3"/>
        <v>692100</v>
      </c>
    </row>
    <row r="9" spans="1:10">
      <c r="A9" s="205" t="s">
        <v>290</v>
      </c>
      <c r="B9" s="208">
        <f>'1.1 Eelarvearuanne 08.06.'!H16</f>
        <v>12304598.509999996</v>
      </c>
      <c r="C9" s="208">
        <f>'1.1 Eelarvearuanne 08.06.'!D16</f>
        <v>12565654</v>
      </c>
      <c r="D9" s="209">
        <v>12942623.620000001</v>
      </c>
      <c r="E9" s="209">
        <v>13292074.457739998</v>
      </c>
      <c r="F9" s="209">
        <v>13650960.468098979</v>
      </c>
      <c r="G9" s="209">
        <v>14019536.400737649</v>
      </c>
      <c r="H9" s="209">
        <v>14389652.161717121</v>
      </c>
    </row>
    <row r="10" spans="1:10">
      <c r="A10" s="205" t="s">
        <v>291</v>
      </c>
      <c r="B10" s="211">
        <f t="shared" ref="B10:H10" si="4">SUM(B11:B13)</f>
        <v>30429788.719999999</v>
      </c>
      <c r="C10" s="206">
        <f t="shared" si="4"/>
        <v>29559563</v>
      </c>
      <c r="D10" s="206">
        <f t="shared" si="4"/>
        <v>29785044.140000001</v>
      </c>
      <c r="E10" s="206">
        <f t="shared" si="4"/>
        <v>29994065.156780001</v>
      </c>
      <c r="F10" s="206">
        <f t="shared" si="4"/>
        <v>30208729.741013058</v>
      </c>
      <c r="G10" s="211">
        <f t="shared" si="4"/>
        <v>30429190.269020412</v>
      </c>
      <c r="H10" s="378">
        <f t="shared" si="4"/>
        <v>30650571.832122549</v>
      </c>
    </row>
    <row r="11" spans="1:10">
      <c r="A11" s="205" t="s">
        <v>292</v>
      </c>
      <c r="B11" s="208">
        <f>'1.1 Eelarvearuanne 08.06.'!H18</f>
        <v>2780782</v>
      </c>
      <c r="C11" s="208">
        <f>'1.1 Eelarvearuanne 08.06.'!D18</f>
        <v>3498428</v>
      </c>
      <c r="D11" s="209">
        <f>C11</f>
        <v>3498428</v>
      </c>
      <c r="E11" s="209">
        <f>D11</f>
        <v>3498428</v>
      </c>
      <c r="F11" s="209">
        <f t="shared" ref="F11:H11" si="5">E11</f>
        <v>3498428</v>
      </c>
      <c r="G11" s="209">
        <f t="shared" si="5"/>
        <v>3498428</v>
      </c>
      <c r="H11" s="209">
        <f t="shared" si="5"/>
        <v>3498428</v>
      </c>
      <c r="I11" s="212"/>
      <c r="J11" s="212"/>
    </row>
    <row r="12" spans="1:10">
      <c r="A12" s="205" t="s">
        <v>293</v>
      </c>
      <c r="B12" s="208">
        <f>'1.1 Eelarvearuanne 08.06.'!H19</f>
        <v>18532448</v>
      </c>
      <c r="C12" s="208">
        <f>'1.1 Eelarvearuanne 08.06.'!D19</f>
        <v>18545097</v>
      </c>
      <c r="D12" s="209">
        <f>C12</f>
        <v>18545097</v>
      </c>
      <c r="E12" s="209">
        <f>D12</f>
        <v>18545097</v>
      </c>
      <c r="F12" s="209">
        <f t="shared" ref="F12:H12" si="6">E12</f>
        <v>18545097</v>
      </c>
      <c r="G12" s="209">
        <f t="shared" si="6"/>
        <v>18545097</v>
      </c>
      <c r="H12" s="209">
        <f t="shared" si="6"/>
        <v>18545097</v>
      </c>
    </row>
    <row r="13" spans="1:10">
      <c r="A13" s="205" t="s">
        <v>294</v>
      </c>
      <c r="B13" s="208">
        <f>'1.1 Eelarvearuanne 08.06.'!H20</f>
        <v>9116558.7199999988</v>
      </c>
      <c r="C13" s="208">
        <f>'1.1 Eelarvearuanne 08.06.'!D20</f>
        <v>7516038</v>
      </c>
      <c r="D13" s="209">
        <f>C13*'1.3 Strateegia vorm valdkonniti'!D152</f>
        <v>7741519.1400000006</v>
      </c>
      <c r="E13" s="209">
        <f>D13*'1.3 Strateegia vorm valdkonniti'!E152</f>
        <v>7950540.1567799998</v>
      </c>
      <c r="F13" s="209">
        <f>E13*'1.3 Strateegia vorm valdkonniti'!F152</f>
        <v>8165204.7410130594</v>
      </c>
      <c r="G13" s="209">
        <f>F13*'1.3 Strateegia vorm valdkonniti'!G152</f>
        <v>8385665.2690204112</v>
      </c>
      <c r="H13" s="209">
        <f>G13*'1.3 Strateegia vorm valdkonniti'!H152</f>
        <v>8607046.8321225494</v>
      </c>
    </row>
    <row r="14" spans="1:10">
      <c r="A14" s="205" t="s">
        <v>295</v>
      </c>
      <c r="B14" s="208">
        <f>'1.1 Eelarvearuanne 08.06.'!H21</f>
        <v>550729.63000000012</v>
      </c>
      <c r="C14" s="208">
        <f>'1.1 Eelarvearuanne 08.06.'!D21</f>
        <v>457514</v>
      </c>
      <c r="D14" s="209">
        <f>C14</f>
        <v>457514</v>
      </c>
      <c r="E14" s="209">
        <f>D14</f>
        <v>457514</v>
      </c>
      <c r="F14" s="209">
        <f t="shared" ref="F14:H14" si="7">E14</f>
        <v>457514</v>
      </c>
      <c r="G14" s="209">
        <f t="shared" si="7"/>
        <v>457514</v>
      </c>
      <c r="H14" s="209">
        <f t="shared" si="7"/>
        <v>457514</v>
      </c>
    </row>
    <row r="15" spans="1:10">
      <c r="A15" s="213" t="s">
        <v>296</v>
      </c>
      <c r="B15" s="214">
        <f t="shared" ref="B15:H15" si="8">SUM(B16:B17)</f>
        <v>83311211.150000006</v>
      </c>
      <c r="C15" s="214">
        <f>C16+C17</f>
        <v>87201574</v>
      </c>
      <c r="D15" s="215">
        <f t="shared" si="8"/>
        <v>89817621.219999999</v>
      </c>
      <c r="E15" s="215">
        <f t="shared" si="8"/>
        <v>92242696.992939979</v>
      </c>
      <c r="F15" s="215">
        <f t="shared" si="8"/>
        <v>94733249.811749354</v>
      </c>
      <c r="G15" s="214">
        <f t="shared" si="8"/>
        <v>97291047.556666598</v>
      </c>
      <c r="H15" s="380">
        <f t="shared" si="8"/>
        <v>99859531.212162584</v>
      </c>
    </row>
    <row r="16" spans="1:10">
      <c r="A16" s="205" t="s">
        <v>297</v>
      </c>
      <c r="B16" s="208">
        <f>'1.1 Eelarvearuanne 08.06.'!H27</f>
        <v>11745132.619999997</v>
      </c>
      <c r="C16" s="208">
        <f>'1.1 Eelarvearuanne 08.06.'!D27</f>
        <v>11977947</v>
      </c>
      <c r="D16" s="209">
        <f>C16*'1.3 Strateegia vorm valdkonniti'!D152</f>
        <v>12337285.41</v>
      </c>
      <c r="E16" s="209">
        <f>D16*'1.3 Strateegia vorm valdkonniti'!E152</f>
        <v>12670392.116069999</v>
      </c>
      <c r="F16" s="209">
        <f>E16*'1.3 Strateegia vorm valdkonniti'!F152</f>
        <v>13012492.703203887</v>
      </c>
      <c r="G16" s="209">
        <f>F16*'1.3 Strateegia vorm valdkonniti'!G152</f>
        <v>13363830.006190391</v>
      </c>
      <c r="H16" s="209">
        <f>G16*'1.3 Strateegia vorm valdkonniti'!H152</f>
        <v>13716635.118353818</v>
      </c>
    </row>
    <row r="17" spans="1:10">
      <c r="A17" s="205" t="s">
        <v>298</v>
      </c>
      <c r="B17" s="211">
        <f t="shared" ref="B17:H17" si="9">B18+B19+B21</f>
        <v>71566078.530000001</v>
      </c>
      <c r="C17" s="211">
        <f t="shared" si="9"/>
        <v>75223627</v>
      </c>
      <c r="D17" s="217">
        <f t="shared" si="9"/>
        <v>77480335.810000002</v>
      </c>
      <c r="E17" s="217">
        <f t="shared" si="9"/>
        <v>79572304.876869977</v>
      </c>
      <c r="F17" s="217">
        <f t="shared" si="9"/>
        <v>81720757.108545467</v>
      </c>
      <c r="G17" s="217">
        <f t="shared" si="9"/>
        <v>83927217.550476208</v>
      </c>
      <c r="H17" s="386">
        <f t="shared" si="9"/>
        <v>86142896.09380877</v>
      </c>
    </row>
    <row r="18" spans="1:10">
      <c r="A18" s="205" t="s">
        <v>299</v>
      </c>
      <c r="B18" s="208">
        <f>'1.1 Eelarvearuanne 08.06.'!H33</f>
        <v>39838954.530000001</v>
      </c>
      <c r="C18" s="208">
        <f>'1.1 Eelarvearuanne 08.06.'!D33</f>
        <v>40593492</v>
      </c>
      <c r="D18" s="209">
        <f>C18*'1.3 Strateegia vorm valdkonniti'!D152</f>
        <v>41811296.759999998</v>
      </c>
      <c r="E18" s="209">
        <f>D18*'1.3 Strateegia vorm valdkonniti'!E152</f>
        <v>42940201.772519991</v>
      </c>
      <c r="F18" s="209">
        <f>E18*'1.3 Strateegia vorm valdkonniti'!F152</f>
        <v>44099587.220378026</v>
      </c>
      <c r="G18" s="209">
        <f>F18*'1.3 Strateegia vorm valdkonniti'!G152</f>
        <v>45290276.075328231</v>
      </c>
      <c r="H18" s="209">
        <f>G18*'1.3 Strateegia vorm valdkonniti'!H152</f>
        <v>46485939.363716893</v>
      </c>
    </row>
    <row r="19" spans="1:10">
      <c r="A19" s="205" t="s">
        <v>300</v>
      </c>
      <c r="B19" s="208">
        <f>'1.1 Eelarvearuanne 08.06.'!H34</f>
        <v>31395450.07</v>
      </c>
      <c r="C19" s="208">
        <f>'1.1 Eelarvearuanne 08.06.'!D34</f>
        <v>33902112</v>
      </c>
      <c r="D19" s="209">
        <f>C19*'1.3 Strateegia vorm valdkonniti'!D152</f>
        <v>34919175.359999999</v>
      </c>
      <c r="E19" s="209">
        <f>D19*'1.3 Strateegia vorm valdkonniti'!E152</f>
        <v>35861993.094719999</v>
      </c>
      <c r="F19" s="209">
        <f>E19*'1.3 Strateegia vorm valdkonniti'!F152</f>
        <v>36830266.908277437</v>
      </c>
      <c r="G19" s="209">
        <f>F19*'1.3 Strateegia vorm valdkonniti'!G152</f>
        <v>37824684.114800923</v>
      </c>
      <c r="H19" s="209">
        <f>G19*'1.3 Strateegia vorm valdkonniti'!H152</f>
        <v>38823255.775431663</v>
      </c>
    </row>
    <row r="20" spans="1:10">
      <c r="A20" s="421" t="s">
        <v>301</v>
      </c>
      <c r="B20" s="217"/>
      <c r="C20" s="217"/>
      <c r="D20" s="209"/>
      <c r="E20" s="209"/>
      <c r="F20" s="209"/>
      <c r="G20" s="367"/>
      <c r="H20" s="422"/>
    </row>
    <row r="21" spans="1:10">
      <c r="A21" s="205" t="s">
        <v>302</v>
      </c>
      <c r="B21" s="208">
        <f>'1.1 Eelarvearuanne 08.06.'!H35</f>
        <v>331673.93</v>
      </c>
      <c r="C21" s="208">
        <f>'1.1 Eelarvearuanne 08.06.'!D35</f>
        <v>728023</v>
      </c>
      <c r="D21" s="209">
        <f>C21*'1.3 Strateegia vorm valdkonniti'!D152</f>
        <v>749863.69000000006</v>
      </c>
      <c r="E21" s="209">
        <f>D21*'1.3 Strateegia vorm valdkonniti'!E152</f>
        <v>770110.00962999999</v>
      </c>
      <c r="F21" s="209">
        <f>E21*'1.3 Strateegia vorm valdkonniti'!F152</f>
        <v>790902.97989000997</v>
      </c>
      <c r="G21" s="209">
        <f>F21*'1.3 Strateegia vorm valdkonniti'!G152</f>
        <v>812257.36034704011</v>
      </c>
      <c r="H21" s="209">
        <f>G21*'1.3 Strateegia vorm valdkonniti'!H152</f>
        <v>833700.95466020191</v>
      </c>
    </row>
    <row r="22" spans="1:10">
      <c r="A22" s="220" t="s">
        <v>303</v>
      </c>
      <c r="B22" s="214">
        <f t="shared" ref="B22:H22" si="10">B4-B15</f>
        <v>8601227.0099999905</v>
      </c>
      <c r="C22" s="215">
        <f t="shared" si="10"/>
        <v>4515257</v>
      </c>
      <c r="D22" s="215">
        <f t="shared" si="10"/>
        <v>5961274.5400000066</v>
      </c>
      <c r="E22" s="215">
        <f t="shared" si="10"/>
        <v>7108494.6215800196</v>
      </c>
      <c r="F22" s="215">
        <f t="shared" si="10"/>
        <v>8411471.3973626941</v>
      </c>
      <c r="G22" s="214">
        <f t="shared" si="10"/>
        <v>10084907.113091454</v>
      </c>
      <c r="H22" s="380">
        <f t="shared" si="10"/>
        <v>10148439.781677082</v>
      </c>
      <c r="J22" s="212"/>
    </row>
    <row r="23" spans="1:10">
      <c r="A23" s="221" t="s">
        <v>304</v>
      </c>
      <c r="B23" s="214">
        <f t="shared" ref="B23:H23" si="11">B24+B25+B27+B28+B29+B30+B31+B32+B33+B34</f>
        <v>-5017327.4300000016</v>
      </c>
      <c r="C23" s="214">
        <f t="shared" si="11"/>
        <v>-13748649.759999998</v>
      </c>
      <c r="D23" s="214">
        <f t="shared" si="11"/>
        <v>-7808352</v>
      </c>
      <c r="E23" s="214">
        <f t="shared" si="11"/>
        <v>-7650840.3960000006</v>
      </c>
      <c r="F23" s="214">
        <f t="shared" si="11"/>
        <v>-7688280.2267500004</v>
      </c>
      <c r="G23" s="214">
        <f t="shared" si="11"/>
        <v>-8275157.6373999994</v>
      </c>
      <c r="H23" s="380">
        <f t="shared" si="11"/>
        <v>-8296235.1354999999</v>
      </c>
      <c r="J23" s="212"/>
    </row>
    <row r="24" spans="1:10" ht="12.75" customHeight="1">
      <c r="A24" s="222" t="s">
        <v>305</v>
      </c>
      <c r="B24" s="208">
        <f>'1.1 Eelarvearuanne 08.06.'!H38</f>
        <v>754261.01</v>
      </c>
      <c r="C24" s="208">
        <f>'1.1 Eelarvearuanne 08.06.'!D38</f>
        <v>759967</v>
      </c>
      <c r="D24" s="209">
        <f>C24</f>
        <v>759967</v>
      </c>
      <c r="E24" s="209">
        <f>D24</f>
        <v>759967</v>
      </c>
      <c r="F24" s="209">
        <f t="shared" ref="F24:H24" si="12">E24</f>
        <v>759967</v>
      </c>
      <c r="G24" s="209">
        <f t="shared" si="12"/>
        <v>759967</v>
      </c>
      <c r="H24" s="209">
        <f t="shared" si="12"/>
        <v>759967</v>
      </c>
      <c r="I24" s="223"/>
      <c r="J24" s="212"/>
    </row>
    <row r="25" spans="1:10" ht="12.75" customHeight="1">
      <c r="A25" s="222" t="s">
        <v>306</v>
      </c>
      <c r="B25" s="208">
        <f>'1.1 Eelarvearuanne 08.06.'!H39</f>
        <v>-8561691.3900000006</v>
      </c>
      <c r="C25" s="224">
        <f t="shared" ref="C25:H25" si="13">-C103</f>
        <v>-34186666.759999998</v>
      </c>
      <c r="D25" s="224">
        <f t="shared" si="13"/>
        <v>-23905736</v>
      </c>
      <c r="E25" s="224">
        <f t="shared" si="13"/>
        <v>-18689487</v>
      </c>
      <c r="F25" s="224">
        <f t="shared" si="13"/>
        <v>-18588157.649999999</v>
      </c>
      <c r="G25" s="368">
        <f t="shared" si="13"/>
        <v>-19000000</v>
      </c>
      <c r="H25" s="381">
        <f t="shared" si="13"/>
        <v>-19000000</v>
      </c>
      <c r="I25" s="225"/>
    </row>
    <row r="26" spans="1:10">
      <c r="A26" s="226" t="s">
        <v>307</v>
      </c>
      <c r="B26" s="208"/>
      <c r="C26" s="224">
        <f t="shared" ref="C26:H26" si="14">-C105</f>
        <v>-5294712.75</v>
      </c>
      <c r="D26" s="224">
        <f t="shared" si="14"/>
        <v>-7129611</v>
      </c>
      <c r="E26" s="224">
        <f t="shared" si="14"/>
        <v>-6642023.0499999998</v>
      </c>
      <c r="F26" s="224">
        <f t="shared" si="14"/>
        <v>-6630535</v>
      </c>
      <c r="G26" s="368">
        <f t="shared" si="14"/>
        <v>-7000000</v>
      </c>
      <c r="H26" s="381">
        <f t="shared" si="14"/>
        <v>-7000000</v>
      </c>
    </row>
    <row r="27" spans="1:10" ht="12.75" customHeight="1">
      <c r="A27" s="227" t="s">
        <v>308</v>
      </c>
      <c r="B27" s="208">
        <f>'1.1 Eelarvearuanne 08.06.'!H40</f>
        <v>5861360.4199999999</v>
      </c>
      <c r="C27" s="208">
        <f>'1.1 Eelarvearuanne 08.06.'!D40</f>
        <v>22944117</v>
      </c>
      <c r="D27" s="209">
        <f>D104</f>
        <v>16776125</v>
      </c>
      <c r="E27" s="209">
        <f t="shared" ref="E27:H27" si="15">E104</f>
        <v>12047463.949999999</v>
      </c>
      <c r="F27" s="209">
        <f t="shared" si="15"/>
        <v>11957622.649999999</v>
      </c>
      <c r="G27" s="209">
        <f t="shared" si="15"/>
        <v>12000000</v>
      </c>
      <c r="H27" s="209">
        <f t="shared" si="15"/>
        <v>12000000</v>
      </c>
    </row>
    <row r="28" spans="1:10" ht="12.75" customHeight="1">
      <c r="A28" s="222" t="s">
        <v>309</v>
      </c>
      <c r="B28" s="208">
        <f>'1.1 Eelarvearuanne 08.06.'!H41</f>
        <v>-2000448.11</v>
      </c>
      <c r="C28" s="208">
        <f>'1.1 Eelarvearuanne 08.06.'!D41</f>
        <v>-2015412</v>
      </c>
      <c r="D28" s="209">
        <v>-500000</v>
      </c>
      <c r="E28" s="209">
        <f>D28</f>
        <v>-500000</v>
      </c>
      <c r="F28" s="209">
        <f t="shared" ref="F28:H28" si="16">E28</f>
        <v>-500000</v>
      </c>
      <c r="G28" s="209">
        <f t="shared" si="16"/>
        <v>-500000</v>
      </c>
      <c r="H28" s="209">
        <f t="shared" si="16"/>
        <v>-500000</v>
      </c>
    </row>
    <row r="29" spans="1:10" ht="12.75" customHeight="1">
      <c r="A29" s="228" t="s">
        <v>310</v>
      </c>
      <c r="B29" s="208">
        <f>'1.1 Eelarvearuanne 08.06.'!H42+'1.1 Eelarvearuanne 08.06.'!H44</f>
        <v>18010.41</v>
      </c>
      <c r="C29" s="208">
        <f>'1.1 Eelarvearuanne 08.06.'!D42+'1.1 Eelarvearuanne 08.06.'!D44</f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29"/>
      <c r="J29" s="212"/>
    </row>
    <row r="30" spans="1:10" ht="12.75" customHeight="1">
      <c r="A30" s="228" t="s">
        <v>311</v>
      </c>
      <c r="B30" s="208">
        <f>'1.1 Eelarvearuanne 08.06.'!H43+'1.1 Eelarvearuanne 08.06.'!H45</f>
        <v>-651.9</v>
      </c>
      <c r="C30" s="208">
        <f>'1.1 Eelarvearuanne 08.06.'!D43+'1.1 Eelarvearuanne 08.06.'!D45</f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</row>
    <row r="31" spans="1:10" ht="12.75" customHeight="1">
      <c r="A31" s="230" t="s">
        <v>312</v>
      </c>
      <c r="B31" s="231">
        <f>'1.1 Eelarvearuanne 08.06.'!H46</f>
        <v>0</v>
      </c>
      <c r="C31" s="231">
        <f>'1.1 Eelarvearuanne 08.06.'!D46</f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</row>
    <row r="32" spans="1:10" ht="12.75" customHeight="1">
      <c r="A32" s="232" t="s">
        <v>313</v>
      </c>
      <c r="B32" s="208">
        <f>'1.1 Eelarvearuanne 08.06.'!H47</f>
        <v>0</v>
      </c>
      <c r="C32" s="208">
        <f>'1.1 Eelarvearuanne 08.06.'!D47</f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</row>
    <row r="33" spans="1:8" ht="12.75" customHeight="1">
      <c r="A33" s="233" t="s">
        <v>314</v>
      </c>
      <c r="B33" s="234">
        <f>'1.1 Eelarvearuanne 08.06.'!H48</f>
        <v>87482.09</v>
      </c>
      <c r="C33" s="234">
        <f>'1.1 Eelarvearuanne 08.06.'!D48</f>
        <v>225569</v>
      </c>
      <c r="D33" s="209">
        <f>C33</f>
        <v>225569</v>
      </c>
      <c r="E33" s="209">
        <f t="shared" ref="E33:H33" si="17">D33</f>
        <v>225569</v>
      </c>
      <c r="F33" s="209">
        <f t="shared" si="17"/>
        <v>225569</v>
      </c>
      <c r="G33" s="209">
        <f t="shared" si="17"/>
        <v>225569</v>
      </c>
      <c r="H33" s="209">
        <f t="shared" si="17"/>
        <v>225569</v>
      </c>
    </row>
    <row r="34" spans="1:8">
      <c r="A34" s="233" t="s">
        <v>315</v>
      </c>
      <c r="B34" s="208">
        <f>'1.1 Eelarvearuanne 08.06.'!H49</f>
        <v>-1175649.96</v>
      </c>
      <c r="C34" s="208">
        <f>'1.1 Eelarvearuanne 08.06.'!D49</f>
        <v>-1476224</v>
      </c>
      <c r="D34" s="209">
        <v>-1164277</v>
      </c>
      <c r="E34" s="209">
        <v>-1494353.3459999999</v>
      </c>
      <c r="F34" s="209">
        <v>-1543281.2267500001</v>
      </c>
      <c r="G34" s="367">
        <v>-1760693.6373999999</v>
      </c>
      <c r="H34" s="379">
        <v>-1781771.1355000001</v>
      </c>
    </row>
    <row r="35" spans="1:8">
      <c r="A35" s="221" t="s">
        <v>316</v>
      </c>
      <c r="B35" s="214">
        <f t="shared" ref="B35:H35" si="18">B22+B23</f>
        <v>3583899.5799999889</v>
      </c>
      <c r="C35" s="215">
        <f t="shared" si="18"/>
        <v>-9233392.7599999979</v>
      </c>
      <c r="D35" s="215">
        <f t="shared" si="18"/>
        <v>-1847077.4599999934</v>
      </c>
      <c r="E35" s="215">
        <f t="shared" si="18"/>
        <v>-542345.77441998105</v>
      </c>
      <c r="F35" s="215">
        <f t="shared" si="18"/>
        <v>723191.17061269376</v>
      </c>
      <c r="G35" s="214">
        <f t="shared" si="18"/>
        <v>1809749.4756914545</v>
      </c>
      <c r="H35" s="380">
        <f t="shared" si="18"/>
        <v>1852204.6461770823</v>
      </c>
    </row>
    <row r="36" spans="1:8">
      <c r="A36" s="221" t="s">
        <v>317</v>
      </c>
      <c r="B36" s="214">
        <f t="shared" ref="B36:H36" si="19">B37+B38</f>
        <v>-233150.26999999955</v>
      </c>
      <c r="C36" s="215">
        <f t="shared" si="19"/>
        <v>2264841</v>
      </c>
      <c r="D36" s="215">
        <f t="shared" si="19"/>
        <v>1847077.8518981747</v>
      </c>
      <c r="E36" s="215">
        <f t="shared" si="19"/>
        <v>542345.96582907811</v>
      </c>
      <c r="F36" s="215">
        <f t="shared" si="19"/>
        <v>-567163.40000000037</v>
      </c>
      <c r="G36" s="214">
        <f t="shared" si="19"/>
        <v>-579158.58000000007</v>
      </c>
      <c r="H36" s="380">
        <f t="shared" si="19"/>
        <v>-591692.3200000003</v>
      </c>
    </row>
    <row r="37" spans="1:8">
      <c r="A37" s="235" t="s">
        <v>318</v>
      </c>
      <c r="B37" s="208">
        <f>'1.1 Eelarvearuanne 08.06.'!H52</f>
        <v>11320800</v>
      </c>
      <c r="C37" s="208">
        <f>'1.1 Eelarvearuanne 08.06.'!D52</f>
        <v>8385846</v>
      </c>
      <c r="D37" s="209">
        <v>16242400.969999999</v>
      </c>
      <c r="E37" s="209">
        <v>7516196.3558290787</v>
      </c>
      <c r="F37" s="209">
        <v>6231128.3300000001</v>
      </c>
      <c r="G37" s="367">
        <v>6140077.8799999999</v>
      </c>
      <c r="H37" s="379">
        <v>5926666.5</v>
      </c>
    </row>
    <row r="38" spans="1:8">
      <c r="A38" s="235" t="s">
        <v>319</v>
      </c>
      <c r="B38" s="208">
        <f>'1.1 Eelarvearuanne 08.06.'!H53</f>
        <v>-11553950.27</v>
      </c>
      <c r="C38" s="208">
        <f>'1.1 Eelarvearuanne 08.06.'!D53</f>
        <v>-6121005</v>
      </c>
      <c r="D38" s="209">
        <v>-14395323.118101824</v>
      </c>
      <c r="E38" s="209">
        <v>-6973850.3900000006</v>
      </c>
      <c r="F38" s="209">
        <v>-6798291.7300000004</v>
      </c>
      <c r="G38" s="367">
        <v>-6719236.46</v>
      </c>
      <c r="H38" s="379">
        <v>-6518358.8200000003</v>
      </c>
    </row>
    <row r="39" spans="1:8" ht="25.5">
      <c r="A39" s="236" t="s">
        <v>320</v>
      </c>
      <c r="B39" s="208">
        <f>'1.1 Eelarvearuanne 08.06.'!H54</f>
        <v>3350749.3099999893</v>
      </c>
      <c r="C39" s="208">
        <f>'1.1 Eelarvearuanne 08.06.'!D54</f>
        <v>-6968552</v>
      </c>
      <c r="D39" s="224">
        <f>SUM(D35:D36)</f>
        <v>0.39189818128943443</v>
      </c>
      <c r="E39" s="224">
        <f t="shared" ref="E39:H39" si="20">SUM(E35:E36)</f>
        <v>0.1914090970531106</v>
      </c>
      <c r="F39" s="224">
        <f t="shared" si="20"/>
        <v>156027.77061269339</v>
      </c>
      <c r="G39" s="224">
        <f t="shared" si="20"/>
        <v>1230590.8956914544</v>
      </c>
      <c r="H39" s="224">
        <f t="shared" si="20"/>
        <v>1260512.326177082</v>
      </c>
    </row>
    <row r="40" spans="1:8" ht="38.25">
      <c r="A40" s="236" t="s">
        <v>321</v>
      </c>
      <c r="B40" s="208">
        <f>'1.1 Eelarvearuanne 08.06.'!H55</f>
        <v>0</v>
      </c>
      <c r="C40" s="208">
        <f>'1.1 Eelarvearuanne 08.06.'!D55</f>
        <v>0</v>
      </c>
      <c r="D40" s="209"/>
      <c r="E40" s="209"/>
      <c r="F40" s="209"/>
      <c r="G40" s="367"/>
      <c r="H40" s="379"/>
    </row>
    <row r="41" spans="1:8">
      <c r="A41" s="237"/>
      <c r="B41" s="238"/>
      <c r="C41" s="238"/>
      <c r="D41" s="239"/>
      <c r="E41" s="239"/>
      <c r="F41" s="239"/>
      <c r="G41" s="369"/>
      <c r="H41" s="379"/>
    </row>
    <row r="42" spans="1:8" ht="13.5" customHeight="1">
      <c r="A42" s="241" t="s">
        <v>322</v>
      </c>
      <c r="B42" s="242">
        <f>'1.1 Eelarvearuanne 08.06.'!H165</f>
        <v>7384780.235695105</v>
      </c>
      <c r="C42" s="243">
        <f t="shared" ref="C42:H42" si="21">B42+C39</f>
        <v>416228.23569510505</v>
      </c>
      <c r="D42" s="243">
        <f t="shared" si="21"/>
        <v>416228.62759328634</v>
      </c>
      <c r="E42" s="243">
        <f t="shared" si="21"/>
        <v>416228.81900238339</v>
      </c>
      <c r="F42" s="243">
        <f t="shared" si="21"/>
        <v>572256.58961507678</v>
      </c>
      <c r="G42" s="370">
        <f t="shared" si="21"/>
        <v>1802847.4853065312</v>
      </c>
      <c r="H42" s="382">
        <f t="shared" si="21"/>
        <v>3063359.8114836132</v>
      </c>
    </row>
    <row r="43" spans="1:8">
      <c r="A43" s="245" t="s">
        <v>323</v>
      </c>
      <c r="B43" s="246">
        <f>'1.1 Eelarvearuanne 08.06.'!H163</f>
        <v>45647987.109999999</v>
      </c>
      <c r="C43" s="246">
        <f>'1.1 Eelarvearuanne 08.06.'!D163</f>
        <v>47912828.109999999</v>
      </c>
      <c r="D43" s="209">
        <f>C43+D36</f>
        <v>49759905.961898178</v>
      </c>
      <c r="E43" s="209">
        <f t="shared" ref="E43:H43" si="22">D43+E36</f>
        <v>50302251.927727252</v>
      </c>
      <c r="F43" s="209">
        <f t="shared" si="22"/>
        <v>49735088.527727254</v>
      </c>
      <c r="G43" s="209">
        <f t="shared" si="22"/>
        <v>49155929.947727256</v>
      </c>
      <c r="H43" s="209">
        <f t="shared" si="22"/>
        <v>48564237.627727255</v>
      </c>
    </row>
    <row r="44" spans="1:8">
      <c r="A44" s="247" t="s">
        <v>324</v>
      </c>
      <c r="B44" s="248">
        <f>'1.1 Eelarvearuanne 08.06.'!H164</f>
        <v>0</v>
      </c>
      <c r="C44" s="248">
        <f>'1.1 Eelarvearuanne 08.06.'!D164</f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</row>
    <row r="45" spans="1:8">
      <c r="A45" s="236" t="s">
        <v>325</v>
      </c>
      <c r="B45" s="211">
        <f t="shared" ref="B45:H45" si="23">IF(B43-B42&lt;0,0,B43-B42)</f>
        <v>38263206.874304891</v>
      </c>
      <c r="C45" s="211">
        <f t="shared" si="23"/>
        <v>47496599.874304891</v>
      </c>
      <c r="D45" s="211">
        <f t="shared" si="23"/>
        <v>49343677.334304892</v>
      </c>
      <c r="E45" s="211">
        <f t="shared" si="23"/>
        <v>49886023.10872487</v>
      </c>
      <c r="F45" s="211">
        <f t="shared" si="23"/>
        <v>49162831.938112177</v>
      </c>
      <c r="G45" s="211">
        <f t="shared" si="23"/>
        <v>47353082.462420724</v>
      </c>
      <c r="H45" s="378">
        <f t="shared" si="23"/>
        <v>45500877.816243641</v>
      </c>
    </row>
    <row r="46" spans="1:8">
      <c r="A46" s="236" t="s">
        <v>326</v>
      </c>
      <c r="B46" s="250">
        <f t="shared" ref="B46:H46" si="24">B45/B4</f>
        <v>0.41630064048237725</v>
      </c>
      <c r="C46" s="251">
        <f t="shared" si="24"/>
        <v>0.51786132770227189</v>
      </c>
      <c r="D46" s="251">
        <f t="shared" si="24"/>
        <v>0.51518319294418313</v>
      </c>
      <c r="E46" s="251">
        <f t="shared" si="24"/>
        <v>0.50211801487274876</v>
      </c>
      <c r="F46" s="251">
        <f t="shared" si="24"/>
        <v>0.47663934093574356</v>
      </c>
      <c r="G46" s="251">
        <f t="shared" si="24"/>
        <v>0.44100266775795666</v>
      </c>
      <c r="H46" s="251">
        <f t="shared" si="24"/>
        <v>0.41361437180576344</v>
      </c>
    </row>
    <row r="47" spans="1:8">
      <c r="A47" s="236" t="s">
        <v>327</v>
      </c>
      <c r="B47" s="211">
        <f t="shared" ref="B47:H47" si="25">IF((B22+B20)*6&gt;B4,B4+B44,IF((B22+B20)*6&lt;0.6*B4,0.6*B4+B44,(B22+B20)*6+B44))</f>
        <v>55147462.895999998</v>
      </c>
      <c r="C47" s="211">
        <f t="shared" si="25"/>
        <v>55030098.600000001</v>
      </c>
      <c r="D47" s="211">
        <f t="shared" si="25"/>
        <v>57467337.456</v>
      </c>
      <c r="E47" s="211">
        <f t="shared" si="25"/>
        <v>59610714.968711995</v>
      </c>
      <c r="F47" s="211">
        <f t="shared" si="25"/>
        <v>61886832.725467227</v>
      </c>
      <c r="G47" s="211">
        <f t="shared" si="25"/>
        <v>64425572.801854827</v>
      </c>
      <c r="H47" s="378">
        <f t="shared" si="25"/>
        <v>66004782.596303798</v>
      </c>
    </row>
    <row r="48" spans="1:8">
      <c r="A48" s="236" t="s">
        <v>328</v>
      </c>
      <c r="B48" s="250">
        <f t="shared" ref="B48:H48" si="26">B47/B4</f>
        <v>0.6</v>
      </c>
      <c r="C48" s="251">
        <f t="shared" si="26"/>
        <v>0.6</v>
      </c>
      <c r="D48" s="251">
        <f t="shared" si="26"/>
        <v>0.6</v>
      </c>
      <c r="E48" s="251">
        <f t="shared" si="26"/>
        <v>0.6</v>
      </c>
      <c r="F48" s="251">
        <f t="shared" si="26"/>
        <v>0.6</v>
      </c>
      <c r="G48" s="251">
        <f t="shared" si="26"/>
        <v>0.6</v>
      </c>
      <c r="H48" s="251">
        <f t="shared" si="26"/>
        <v>0.6</v>
      </c>
    </row>
    <row r="49" spans="1:9">
      <c r="A49" s="236" t="s">
        <v>329</v>
      </c>
      <c r="B49" s="211">
        <f t="shared" ref="B49:H49" si="27">B47-B45</f>
        <v>16884256.021695107</v>
      </c>
      <c r="C49" s="206">
        <f t="shared" si="27"/>
        <v>7533498.7256951109</v>
      </c>
      <c r="D49" s="206">
        <f t="shared" si="27"/>
        <v>8123660.1216951087</v>
      </c>
      <c r="E49" s="206">
        <f t="shared" si="27"/>
        <v>9724691.8599871248</v>
      </c>
      <c r="F49" s="206">
        <f t="shared" si="27"/>
        <v>12724000.78735505</v>
      </c>
      <c r="G49" s="211">
        <f t="shared" si="27"/>
        <v>17072490.339434102</v>
      </c>
      <c r="H49" s="378">
        <f t="shared" si="27"/>
        <v>20503904.780060157</v>
      </c>
    </row>
    <row r="50" spans="1:9">
      <c r="A50" s="253"/>
      <c r="B50" s="254"/>
      <c r="C50" s="239"/>
      <c r="D50" s="239"/>
      <c r="E50" s="239"/>
      <c r="F50" s="239"/>
      <c r="G50" s="369"/>
      <c r="H50" s="379"/>
    </row>
    <row r="51" spans="1:9" s="258" customFormat="1" ht="13.5" thickBot="1">
      <c r="A51" s="255" t="s">
        <v>330</v>
      </c>
      <c r="B51" s="256">
        <f t="shared" ref="B51:H51" si="28">B35+B36-B39+B40</f>
        <v>0</v>
      </c>
      <c r="C51" s="256">
        <f>C35+C36-C39+C40</f>
        <v>0.24000000208616257</v>
      </c>
      <c r="D51" s="256">
        <f>D35+D36-D39+D40</f>
        <v>0</v>
      </c>
      <c r="E51" s="256">
        <f t="shared" si="28"/>
        <v>0</v>
      </c>
      <c r="F51" s="256">
        <f t="shared" si="28"/>
        <v>0</v>
      </c>
      <c r="G51" s="372">
        <f t="shared" si="28"/>
        <v>0</v>
      </c>
      <c r="H51" s="383">
        <f t="shared" si="28"/>
        <v>0</v>
      </c>
      <c r="I51" s="257"/>
    </row>
    <row r="52" spans="1:9">
      <c r="A52" s="259"/>
      <c r="B52" s="260"/>
      <c r="C52" s="260"/>
      <c r="D52" s="260"/>
      <c r="E52" s="260"/>
      <c r="F52" s="260"/>
      <c r="G52" s="260"/>
      <c r="H52" s="379"/>
    </row>
    <row r="53" spans="1:9">
      <c r="A53" s="261" t="s">
        <v>331</v>
      </c>
      <c r="B53" s="262" t="s">
        <v>332</v>
      </c>
      <c r="C53" s="263">
        <f t="shared" ref="C53:H53" si="29">C4/B4-1</f>
        <v>-2.1281903071648234E-3</v>
      </c>
      <c r="D53" s="263">
        <f t="shared" si="29"/>
        <v>4.4289196603402026E-2</v>
      </c>
      <c r="E53" s="263">
        <f t="shared" si="29"/>
        <v>3.729731718218332E-2</v>
      </c>
      <c r="F53" s="263">
        <f t="shared" si="29"/>
        <v>3.8183030650612126E-2</v>
      </c>
      <c r="G53" s="373">
        <f t="shared" si="29"/>
        <v>4.1022297709911282E-2</v>
      </c>
      <c r="H53" s="423">
        <f t="shared" si="29"/>
        <v>2.4512157607134322E-2</v>
      </c>
    </row>
    <row r="54" spans="1:9">
      <c r="A54" s="261" t="s">
        <v>333</v>
      </c>
      <c r="B54" s="262" t="s">
        <v>332</v>
      </c>
      <c r="C54" s="263">
        <f t="shared" ref="C54:H54" si="30">C15/B15-1</f>
        <v>4.669675060893641E-2</v>
      </c>
      <c r="D54" s="263">
        <f t="shared" si="30"/>
        <v>3.0000000000000027E-2</v>
      </c>
      <c r="E54" s="263">
        <f t="shared" si="30"/>
        <v>2.6999999999999691E-2</v>
      </c>
      <c r="F54" s="263">
        <f t="shared" si="30"/>
        <v>2.6999999999999913E-2</v>
      </c>
      <c r="G54" s="373">
        <f t="shared" si="30"/>
        <v>2.7000000000000135E-2</v>
      </c>
      <c r="H54" s="423">
        <f t="shared" si="30"/>
        <v>2.6399999999999979E-2</v>
      </c>
    </row>
    <row r="55" spans="1:9">
      <c r="A55" s="261" t="s">
        <v>334</v>
      </c>
      <c r="B55" s="264">
        <f t="shared" ref="B55:H55" si="31">B4/B15</f>
        <v>1.1032421314163068</v>
      </c>
      <c r="C55" s="264">
        <f t="shared" si="31"/>
        <v>1.0517795355391177</v>
      </c>
      <c r="D55" s="264">
        <f t="shared" si="31"/>
        <v>1.0663708797786842</v>
      </c>
      <c r="E55" s="264">
        <f t="shared" si="31"/>
        <v>1.0770629529850377</v>
      </c>
      <c r="F55" s="264">
        <f t="shared" si="31"/>
        <v>1.0887911204785825</v>
      </c>
      <c r="G55" s="374">
        <f t="shared" si="31"/>
        <v>1.1036570924700708</v>
      </c>
      <c r="H55" s="424">
        <f t="shared" si="31"/>
        <v>1.101627152245644</v>
      </c>
    </row>
    <row r="56" spans="1:9" ht="13.5" thickBot="1">
      <c r="H56" s="379"/>
    </row>
    <row r="57" spans="1:9" ht="13.5" thickBot="1">
      <c r="A57" s="265" t="s">
        <v>335</v>
      </c>
      <c r="B57" s="266"/>
      <c r="C57" s="362" t="s">
        <v>385</v>
      </c>
      <c r="D57" s="362">
        <v>2013</v>
      </c>
      <c r="E57" s="362">
        <v>2014</v>
      </c>
      <c r="F57" s="363">
        <v>2015</v>
      </c>
      <c r="G57" s="375">
        <v>2016</v>
      </c>
      <c r="H57" s="384">
        <v>2017</v>
      </c>
    </row>
    <row r="58" spans="1:9" ht="25.5">
      <c r="A58" s="387" t="s">
        <v>386</v>
      </c>
      <c r="B58" s="388">
        <f t="shared" ref="B58:G58" si="32">SUM(B59:B60)</f>
        <v>7108.15</v>
      </c>
      <c r="C58" s="388">
        <f t="shared" si="32"/>
        <v>1326395</v>
      </c>
      <c r="D58" s="388">
        <f t="shared" si="32"/>
        <v>800000</v>
      </c>
      <c r="E58" s="388">
        <f t="shared" si="32"/>
        <v>487</v>
      </c>
      <c r="F58" s="388">
        <f t="shared" si="32"/>
        <v>0</v>
      </c>
      <c r="G58" s="389">
        <f t="shared" si="32"/>
        <v>0</v>
      </c>
      <c r="H58" s="389">
        <f t="shared" ref="H58" si="33">SUM(H59:H60)</f>
        <v>0</v>
      </c>
    </row>
    <row r="59" spans="1:9">
      <c r="A59" s="390" t="s">
        <v>336</v>
      </c>
      <c r="B59" s="391">
        <f>'[1]inv 2011'!G70</f>
        <v>0</v>
      </c>
      <c r="C59" s="392">
        <v>1296395</v>
      </c>
      <c r="D59" s="392">
        <v>680000</v>
      </c>
      <c r="E59" s="393">
        <v>413.95</v>
      </c>
      <c r="F59" s="393"/>
      <c r="G59" s="394"/>
      <c r="H59" s="394"/>
    </row>
    <row r="60" spans="1:9">
      <c r="A60" s="390" t="s">
        <v>337</v>
      </c>
      <c r="B60" s="391">
        <f>'[1]inv 2011'!F70-'[1]inv 2011'!G70</f>
        <v>7108.15</v>
      </c>
      <c r="C60" s="392">
        <v>30000</v>
      </c>
      <c r="D60" s="392">
        <v>120000</v>
      </c>
      <c r="E60" s="393">
        <v>73.05</v>
      </c>
      <c r="F60" s="393"/>
      <c r="G60" s="394"/>
      <c r="H60" s="394"/>
    </row>
    <row r="61" spans="1:9" ht="14.1" customHeight="1">
      <c r="A61" s="395" t="s">
        <v>387</v>
      </c>
      <c r="B61" s="388">
        <f t="shared" ref="B61:G61" si="34">SUM(B62:B63)</f>
        <v>0</v>
      </c>
      <c r="C61" s="388">
        <f t="shared" si="34"/>
        <v>0</v>
      </c>
      <c r="D61" s="388">
        <f t="shared" si="34"/>
        <v>340000</v>
      </c>
      <c r="E61" s="388">
        <f t="shared" si="34"/>
        <v>147000</v>
      </c>
      <c r="F61" s="388">
        <f t="shared" si="34"/>
        <v>0</v>
      </c>
      <c r="G61" s="389">
        <f t="shared" si="34"/>
        <v>0</v>
      </c>
      <c r="H61" s="389">
        <f t="shared" ref="H61" si="35">SUM(H62:H63)</f>
        <v>0</v>
      </c>
    </row>
    <row r="62" spans="1:9" ht="14.1" customHeight="1">
      <c r="A62" s="390" t="s">
        <v>336</v>
      </c>
      <c r="B62" s="391"/>
      <c r="C62" s="392"/>
      <c r="D62" s="392">
        <v>289000</v>
      </c>
      <c r="E62" s="393">
        <v>124950</v>
      </c>
      <c r="F62" s="393"/>
      <c r="G62" s="394"/>
      <c r="H62" s="394"/>
    </row>
    <row r="63" spans="1:9" ht="14.1" customHeight="1">
      <c r="A63" s="390" t="s">
        <v>337</v>
      </c>
      <c r="B63" s="391"/>
      <c r="C63" s="392"/>
      <c r="D63" s="392">
        <v>51000</v>
      </c>
      <c r="E63" s="393">
        <v>22050</v>
      </c>
      <c r="F63" s="393"/>
      <c r="G63" s="394"/>
      <c r="H63" s="394"/>
    </row>
    <row r="64" spans="1:9" ht="14.1" customHeight="1">
      <c r="A64" s="396" t="s">
        <v>388</v>
      </c>
      <c r="B64" s="388">
        <f t="shared" ref="B64:G64" si="36">SUM(B65:B66)</f>
        <v>6269.52</v>
      </c>
      <c r="C64" s="388">
        <f t="shared" si="36"/>
        <v>66915</v>
      </c>
      <c r="D64" s="388">
        <f t="shared" si="36"/>
        <v>432000</v>
      </c>
      <c r="E64" s="388">
        <f t="shared" si="36"/>
        <v>252000</v>
      </c>
      <c r="F64" s="388">
        <f t="shared" si="36"/>
        <v>0</v>
      </c>
      <c r="G64" s="389">
        <f t="shared" si="36"/>
        <v>0</v>
      </c>
      <c r="H64" s="389">
        <f t="shared" ref="H64" si="37">SUM(H65:H66)</f>
        <v>0</v>
      </c>
    </row>
    <row r="65" spans="1:21" ht="14.1" customHeight="1">
      <c r="A65" s="390" t="s">
        <v>336</v>
      </c>
      <c r="B65" s="391">
        <f>'[1]inv 2011'!G117</f>
        <v>0</v>
      </c>
      <c r="C65" s="392"/>
      <c r="D65" s="392">
        <v>367200</v>
      </c>
      <c r="E65" s="393">
        <v>214200</v>
      </c>
      <c r="F65" s="393"/>
      <c r="G65" s="394"/>
      <c r="H65" s="394"/>
    </row>
    <row r="66" spans="1:21" ht="14.1" customHeight="1">
      <c r="A66" s="390" t="s">
        <v>337</v>
      </c>
      <c r="B66" s="391">
        <f>'[1]inv 2011'!F117</f>
        <v>6269.52</v>
      </c>
      <c r="C66" s="392">
        <v>66915</v>
      </c>
      <c r="D66" s="392">
        <v>64800</v>
      </c>
      <c r="E66" s="393">
        <v>37800</v>
      </c>
      <c r="F66" s="393"/>
      <c r="G66" s="394"/>
      <c r="H66" s="394"/>
    </row>
    <row r="67" spans="1:21" ht="14.1" customHeight="1">
      <c r="A67" s="396" t="s">
        <v>389</v>
      </c>
      <c r="B67" s="388">
        <f t="shared" ref="B67:G67" si="38">SUM(B68:B69)</f>
        <v>0</v>
      </c>
      <c r="C67" s="388">
        <f t="shared" si="38"/>
        <v>0</v>
      </c>
      <c r="D67" s="388">
        <f t="shared" si="38"/>
        <v>288000</v>
      </c>
      <c r="E67" s="388">
        <f t="shared" si="38"/>
        <v>164000</v>
      </c>
      <c r="F67" s="388">
        <f t="shared" si="38"/>
        <v>0</v>
      </c>
      <c r="G67" s="389">
        <f t="shared" si="38"/>
        <v>0</v>
      </c>
      <c r="H67" s="389">
        <f t="shared" ref="H67" si="39">SUM(H68:H69)</f>
        <v>0</v>
      </c>
    </row>
    <row r="68" spans="1:21" ht="14.1" customHeight="1">
      <c r="A68" s="390" t="s">
        <v>336</v>
      </c>
      <c r="B68" s="391"/>
      <c r="C68" s="392"/>
      <c r="D68" s="392">
        <v>244800</v>
      </c>
      <c r="E68" s="393">
        <v>139400</v>
      </c>
      <c r="F68" s="393"/>
      <c r="G68" s="394"/>
      <c r="H68" s="394"/>
    </row>
    <row r="69" spans="1:21" ht="14.1" customHeight="1">
      <c r="A69" s="390" t="s">
        <v>337</v>
      </c>
      <c r="B69" s="391"/>
      <c r="C69" s="392"/>
      <c r="D69" s="392">
        <v>43200</v>
      </c>
      <c r="E69" s="393">
        <v>24600</v>
      </c>
      <c r="F69" s="393"/>
      <c r="G69" s="394"/>
      <c r="H69" s="394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 ht="14.1" customHeight="1">
      <c r="A70" s="396" t="s">
        <v>390</v>
      </c>
      <c r="B70" s="388">
        <f t="shared" ref="B70:G70" si="40">SUM(B71:B72)</f>
        <v>0</v>
      </c>
      <c r="C70" s="388">
        <f t="shared" si="40"/>
        <v>0</v>
      </c>
      <c r="D70" s="388">
        <f t="shared" si="40"/>
        <v>510000</v>
      </c>
      <c r="E70" s="388">
        <f t="shared" si="40"/>
        <v>0</v>
      </c>
      <c r="F70" s="388">
        <f t="shared" si="40"/>
        <v>0</v>
      </c>
      <c r="G70" s="389">
        <f t="shared" si="40"/>
        <v>0</v>
      </c>
      <c r="H70" s="389">
        <f t="shared" ref="H70" si="41">SUM(H71:H72)</f>
        <v>0</v>
      </c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1" ht="14.1" customHeight="1">
      <c r="A71" s="390" t="s">
        <v>336</v>
      </c>
      <c r="B71" s="391"/>
      <c r="C71" s="392"/>
      <c r="D71" s="392">
        <v>433500</v>
      </c>
      <c r="E71" s="393"/>
      <c r="F71" s="393"/>
      <c r="G71" s="394"/>
      <c r="H71" s="394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1:21" ht="14.1" customHeight="1">
      <c r="A72" s="390" t="s">
        <v>337</v>
      </c>
      <c r="B72" s="391"/>
      <c r="C72" s="392"/>
      <c r="D72" s="392">
        <v>76500</v>
      </c>
      <c r="E72" s="393"/>
      <c r="F72" s="393"/>
      <c r="G72" s="394"/>
      <c r="H72" s="394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3" spans="1:21" ht="14.1" customHeight="1">
      <c r="A73" s="396" t="s">
        <v>391</v>
      </c>
      <c r="B73" s="388">
        <f t="shared" ref="B73:G73" si="42">SUM(B74:B75)</f>
        <v>0</v>
      </c>
      <c r="C73" s="388">
        <f t="shared" si="42"/>
        <v>90000</v>
      </c>
      <c r="D73" s="388">
        <f t="shared" si="42"/>
        <v>916000</v>
      </c>
      <c r="E73" s="388">
        <f t="shared" si="42"/>
        <v>610000</v>
      </c>
      <c r="F73" s="388">
        <f t="shared" si="42"/>
        <v>0</v>
      </c>
      <c r="G73" s="389">
        <f t="shared" si="42"/>
        <v>0</v>
      </c>
      <c r="H73" s="389">
        <f t="shared" ref="H73" si="43">SUM(H74:H75)</f>
        <v>0</v>
      </c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</row>
    <row r="74" spans="1:21" ht="14.1" customHeight="1">
      <c r="A74" s="390" t="s">
        <v>336</v>
      </c>
      <c r="B74" s="391"/>
      <c r="C74" s="392">
        <v>81000</v>
      </c>
      <c r="D74" s="392">
        <v>778600</v>
      </c>
      <c r="E74" s="393">
        <v>518500</v>
      </c>
      <c r="F74" s="393"/>
      <c r="G74" s="394"/>
      <c r="H74" s="394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1:21" ht="14.1" customHeight="1">
      <c r="A75" s="390" t="s">
        <v>337</v>
      </c>
      <c r="B75" s="391"/>
      <c r="C75" s="392">
        <v>9000</v>
      </c>
      <c r="D75" s="392">
        <v>137400</v>
      </c>
      <c r="E75" s="393">
        <v>91500</v>
      </c>
      <c r="F75" s="393"/>
      <c r="G75" s="394"/>
      <c r="H75" s="394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</row>
    <row r="76" spans="1:21" ht="14.1" customHeight="1">
      <c r="A76" s="397" t="s">
        <v>392</v>
      </c>
      <c r="B76" s="388">
        <f t="shared" ref="B76:G76" si="44">SUM(B77:B78)</f>
        <v>174078.84</v>
      </c>
      <c r="C76" s="388">
        <f t="shared" si="44"/>
        <v>826067</v>
      </c>
      <c r="D76" s="388">
        <f t="shared" si="44"/>
        <v>519000</v>
      </c>
      <c r="E76" s="388">
        <f t="shared" si="44"/>
        <v>0</v>
      </c>
      <c r="F76" s="388">
        <f t="shared" si="44"/>
        <v>0</v>
      </c>
      <c r="G76" s="389">
        <f t="shared" si="44"/>
        <v>0</v>
      </c>
      <c r="H76" s="389">
        <f t="shared" ref="H76" si="45">SUM(H77:H78)</f>
        <v>0</v>
      </c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</row>
    <row r="77" spans="1:21" ht="14.1" customHeight="1">
      <c r="A77" s="390" t="s">
        <v>336</v>
      </c>
      <c r="B77" s="391">
        <f>'[1]inv 2011'!G18</f>
        <v>0</v>
      </c>
      <c r="C77" s="392">
        <v>649041</v>
      </c>
      <c r="D77" s="392">
        <v>441150</v>
      </c>
      <c r="E77" s="393"/>
      <c r="F77" s="393"/>
      <c r="G77" s="394"/>
      <c r="H77" s="394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</row>
    <row r="78" spans="1:21" ht="14.1" customHeight="1">
      <c r="A78" s="390" t="s">
        <v>337</v>
      </c>
      <c r="B78" s="391">
        <f>'[1]inv 2011'!F18-'[1]inv 2011'!G18</f>
        <v>174078.84</v>
      </c>
      <c r="C78" s="392">
        <v>177026</v>
      </c>
      <c r="D78" s="392">
        <v>77850</v>
      </c>
      <c r="E78" s="393"/>
      <c r="F78" s="393"/>
      <c r="G78" s="394"/>
      <c r="H78" s="394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</row>
    <row r="79" spans="1:21" ht="14.1" customHeight="1">
      <c r="A79" s="397" t="s">
        <v>393</v>
      </c>
      <c r="B79" s="388">
        <f t="shared" ref="B79:G79" si="46">SUM(B80:B81)</f>
        <v>0</v>
      </c>
      <c r="C79" s="388">
        <f t="shared" si="46"/>
        <v>297490</v>
      </c>
      <c r="D79" s="388">
        <f t="shared" si="46"/>
        <v>114000</v>
      </c>
      <c r="E79" s="388">
        <f t="shared" si="46"/>
        <v>0</v>
      </c>
      <c r="F79" s="388">
        <f t="shared" si="46"/>
        <v>0</v>
      </c>
      <c r="G79" s="389">
        <f t="shared" si="46"/>
        <v>0</v>
      </c>
      <c r="H79" s="389">
        <f t="shared" ref="H79" si="47">SUM(H80:H81)</f>
        <v>0</v>
      </c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</row>
    <row r="80" spans="1:21" ht="14.1" customHeight="1">
      <c r="A80" s="390" t="s">
        <v>336</v>
      </c>
      <c r="B80" s="391"/>
      <c r="C80" s="392">
        <v>199070</v>
      </c>
      <c r="D80" s="392">
        <v>96900</v>
      </c>
      <c r="E80" s="393"/>
      <c r="F80" s="393"/>
      <c r="G80" s="394"/>
      <c r="H80" s="394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</row>
    <row r="81" spans="1:21" ht="14.1" customHeight="1">
      <c r="A81" s="390" t="s">
        <v>337</v>
      </c>
      <c r="B81" s="391"/>
      <c r="C81" s="392">
        <v>98420</v>
      </c>
      <c r="D81" s="392">
        <v>17100</v>
      </c>
      <c r="E81" s="393"/>
      <c r="F81" s="393"/>
      <c r="G81" s="394"/>
      <c r="H81" s="394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</row>
    <row r="82" spans="1:21" ht="14.1" customHeight="1">
      <c r="A82" s="397" t="s">
        <v>394</v>
      </c>
      <c r="B82" s="388">
        <f t="shared" ref="B82:G82" si="48">SUM(B83:B84)</f>
        <v>47934</v>
      </c>
      <c r="C82" s="388">
        <f t="shared" si="48"/>
        <v>100000</v>
      </c>
      <c r="D82" s="388">
        <f t="shared" si="48"/>
        <v>0</v>
      </c>
      <c r="E82" s="388">
        <f t="shared" si="48"/>
        <v>0</v>
      </c>
      <c r="F82" s="388">
        <f t="shared" si="48"/>
        <v>0</v>
      </c>
      <c r="G82" s="389">
        <f t="shared" si="48"/>
        <v>0</v>
      </c>
      <c r="H82" s="389">
        <f t="shared" ref="H82" si="49">SUM(H83:H84)</f>
        <v>0</v>
      </c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</row>
    <row r="83" spans="1:21" ht="14.1" customHeight="1">
      <c r="A83" s="390" t="s">
        <v>336</v>
      </c>
      <c r="B83" s="391">
        <f>'[1]inv 2011'!G105</f>
        <v>0</v>
      </c>
      <c r="C83" s="392"/>
      <c r="D83" s="392"/>
      <c r="E83" s="393"/>
      <c r="F83" s="393"/>
      <c r="G83" s="394"/>
      <c r="H83" s="394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</row>
    <row r="84" spans="1:21" ht="14.1" customHeight="1">
      <c r="A84" s="390" t="s">
        <v>337</v>
      </c>
      <c r="B84" s="391">
        <f>'[1]inv 2011'!F105-'[1]inv 2011'!G105</f>
        <v>47934</v>
      </c>
      <c r="C84" s="392">
        <v>100000</v>
      </c>
      <c r="D84" s="392"/>
      <c r="E84" s="393"/>
      <c r="F84" s="393"/>
      <c r="G84" s="394"/>
      <c r="H84" s="394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</row>
    <row r="85" spans="1:21" ht="14.1" customHeight="1">
      <c r="A85" s="397" t="s">
        <v>395</v>
      </c>
      <c r="B85" s="388">
        <f t="shared" ref="B85:G85" si="50">SUM(B86:B87)</f>
        <v>6556.99</v>
      </c>
      <c r="C85" s="388">
        <f t="shared" si="50"/>
        <v>127800</v>
      </c>
      <c r="D85" s="388">
        <f t="shared" si="50"/>
        <v>0</v>
      </c>
      <c r="E85" s="388">
        <f t="shared" si="50"/>
        <v>0</v>
      </c>
      <c r="F85" s="388">
        <f t="shared" si="50"/>
        <v>0</v>
      </c>
      <c r="G85" s="389">
        <f t="shared" si="50"/>
        <v>0</v>
      </c>
      <c r="H85" s="389">
        <f t="shared" ref="H85" si="51">SUM(H86:H87)</f>
        <v>0</v>
      </c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</row>
    <row r="86" spans="1:21" ht="14.1" customHeight="1">
      <c r="A86" s="390" t="s">
        <v>336</v>
      </c>
      <c r="B86" s="391">
        <f>'[1]inv 2011'!G114</f>
        <v>0</v>
      </c>
      <c r="C86" s="392"/>
      <c r="D86" s="392"/>
      <c r="E86" s="393"/>
      <c r="F86" s="393"/>
      <c r="G86" s="394"/>
      <c r="H86" s="394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</row>
    <row r="87" spans="1:21" ht="14.1" customHeight="1">
      <c r="A87" s="390" t="s">
        <v>337</v>
      </c>
      <c r="B87" s="391">
        <f>'[1]inv 2011'!F114-'[1]inv 2011'!G114</f>
        <v>6556.99</v>
      </c>
      <c r="C87" s="392">
        <v>127800</v>
      </c>
      <c r="D87" s="392"/>
      <c r="E87" s="393"/>
      <c r="F87" s="393"/>
      <c r="G87" s="394"/>
      <c r="H87" s="394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</row>
    <row r="88" spans="1:21" ht="14.1" customHeight="1">
      <c r="A88" s="397" t="s">
        <v>396</v>
      </c>
      <c r="B88" s="388">
        <f t="shared" ref="B88:G88" si="52">SUM(B89:B90)</f>
        <v>5639881.0699999994</v>
      </c>
      <c r="C88" s="388">
        <f t="shared" si="52"/>
        <v>155010.96</v>
      </c>
      <c r="D88" s="388">
        <f t="shared" si="52"/>
        <v>0</v>
      </c>
      <c r="E88" s="388">
        <f t="shared" si="52"/>
        <v>0</v>
      </c>
      <c r="F88" s="388">
        <f t="shared" si="52"/>
        <v>0</v>
      </c>
      <c r="G88" s="389">
        <f t="shared" si="52"/>
        <v>0</v>
      </c>
      <c r="H88" s="389">
        <f t="shared" ref="H88" si="53">SUM(H89:H90)</f>
        <v>0</v>
      </c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</row>
    <row r="89" spans="1:21" ht="14.1" customHeight="1">
      <c r="A89" s="390" t="s">
        <v>336</v>
      </c>
      <c r="B89" s="391">
        <f>'[1]inv 2011'!G129</f>
        <v>1998122.4</v>
      </c>
      <c r="C89" s="392">
        <v>16360.96</v>
      </c>
      <c r="D89" s="392"/>
      <c r="E89" s="393"/>
      <c r="F89" s="393"/>
      <c r="G89" s="394"/>
      <c r="H89" s="394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</row>
    <row r="90" spans="1:21" ht="14.1" customHeight="1">
      <c r="A90" s="390" t="s">
        <v>337</v>
      </c>
      <c r="B90" s="391">
        <f>'[1]inv 2011'!F129</f>
        <v>3641758.6699999995</v>
      </c>
      <c r="C90" s="392">
        <v>138650</v>
      </c>
      <c r="D90" s="392"/>
      <c r="E90" s="393"/>
      <c r="F90" s="393"/>
      <c r="G90" s="394"/>
      <c r="H90" s="394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</row>
    <row r="91" spans="1:21" ht="14.1" customHeight="1">
      <c r="A91" s="397" t="s">
        <v>397</v>
      </c>
      <c r="B91" s="388">
        <f t="shared" ref="B91:H91" si="54">SUM(B92:B93)</f>
        <v>0</v>
      </c>
      <c r="C91" s="388">
        <f t="shared" si="54"/>
        <v>2096869</v>
      </c>
      <c r="D91" s="388">
        <f t="shared" si="54"/>
        <v>0</v>
      </c>
      <c r="E91" s="388">
        <f t="shared" si="54"/>
        <v>0</v>
      </c>
      <c r="F91" s="388">
        <f t="shared" si="54"/>
        <v>0</v>
      </c>
      <c r="G91" s="389">
        <f t="shared" si="54"/>
        <v>0</v>
      </c>
      <c r="H91" s="389">
        <f t="shared" si="54"/>
        <v>0</v>
      </c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</row>
    <row r="92" spans="1:21" ht="14.1" customHeight="1">
      <c r="A92" s="390" t="s">
        <v>336</v>
      </c>
      <c r="B92" s="391">
        <f>'[1]inv 2011'!G166</f>
        <v>0</v>
      </c>
      <c r="C92" s="392">
        <v>1914818</v>
      </c>
      <c r="D92" s="392"/>
      <c r="E92" s="393"/>
      <c r="F92" s="393"/>
      <c r="G92" s="394"/>
      <c r="H92" s="394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</row>
    <row r="93" spans="1:21" ht="14.1" customHeight="1">
      <c r="A93" s="390" t="s">
        <v>337</v>
      </c>
      <c r="B93" s="391">
        <v>0</v>
      </c>
      <c r="C93" s="392">
        <v>182051</v>
      </c>
      <c r="D93" s="392"/>
      <c r="E93" s="393"/>
      <c r="F93" s="393"/>
      <c r="G93" s="394"/>
      <c r="H93" s="394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</row>
    <row r="94" spans="1:21" ht="14.1" customHeight="1">
      <c r="A94" s="397" t="s">
        <v>398</v>
      </c>
      <c r="B94" s="388">
        <f t="shared" ref="B94:H94" si="55">SUM(B95:B96)</f>
        <v>29200</v>
      </c>
      <c r="C94" s="388">
        <f t="shared" si="55"/>
        <v>832.8</v>
      </c>
      <c r="D94" s="388">
        <f t="shared" si="55"/>
        <v>0</v>
      </c>
      <c r="E94" s="388">
        <f t="shared" si="55"/>
        <v>0</v>
      </c>
      <c r="F94" s="388">
        <f t="shared" si="55"/>
        <v>0</v>
      </c>
      <c r="G94" s="389">
        <f t="shared" si="55"/>
        <v>0</v>
      </c>
      <c r="H94" s="389">
        <f t="shared" si="55"/>
        <v>0</v>
      </c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1:21" ht="14.1" customHeight="1">
      <c r="A95" s="390" t="s">
        <v>336</v>
      </c>
      <c r="B95" s="391">
        <f>'[1]inv 2011'!G191</f>
        <v>29200</v>
      </c>
      <c r="C95" s="392">
        <v>832.8</v>
      </c>
      <c r="D95" s="392"/>
      <c r="E95" s="393"/>
      <c r="F95" s="393"/>
      <c r="G95" s="394"/>
      <c r="H95" s="394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</row>
    <row r="96" spans="1:21" ht="14.1" customHeight="1">
      <c r="A96" s="390" t="s">
        <v>337</v>
      </c>
      <c r="B96" s="391">
        <f>'[1]inv 2011'!F191-'[1]inv 2011'!G191</f>
        <v>0</v>
      </c>
      <c r="C96" s="392"/>
      <c r="D96" s="392"/>
      <c r="E96" s="393"/>
      <c r="F96" s="393"/>
      <c r="G96" s="394"/>
      <c r="H96" s="394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 ht="14.1" customHeight="1">
      <c r="A97" s="397" t="s">
        <v>399</v>
      </c>
      <c r="B97" s="388">
        <f t="shared" ref="B97:G97" si="56">SUM(B98:B99)</f>
        <v>629055</v>
      </c>
      <c r="C97" s="388">
        <f t="shared" si="56"/>
        <v>15210972</v>
      </c>
      <c r="D97" s="388">
        <f t="shared" si="56"/>
        <v>15192000</v>
      </c>
      <c r="E97" s="388">
        <f t="shared" si="56"/>
        <v>13930000</v>
      </c>
      <c r="F97" s="388">
        <f t="shared" si="56"/>
        <v>4588157.6499999985</v>
      </c>
      <c r="G97" s="389">
        <f t="shared" si="56"/>
        <v>0</v>
      </c>
      <c r="H97" s="389">
        <f t="shared" ref="H97" si="57">SUM(H98:H99)</f>
        <v>0</v>
      </c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1:21" ht="14.1" customHeight="1">
      <c r="A98" s="390" t="s">
        <v>336</v>
      </c>
      <c r="B98" s="391">
        <f>'[1]inv 2011'!G194</f>
        <v>0</v>
      </c>
      <c r="C98" s="392">
        <v>12929326</v>
      </c>
      <c r="D98" s="392">
        <v>12312000</v>
      </c>
      <c r="E98" s="393">
        <v>11050000</v>
      </c>
      <c r="F98" s="393">
        <v>1957622.6499999985</v>
      </c>
      <c r="G98" s="394"/>
      <c r="H98" s="394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1:21">
      <c r="A99" s="390" t="s">
        <v>337</v>
      </c>
      <c r="B99" s="391">
        <f>'[1]inv 2011'!F17</f>
        <v>629055</v>
      </c>
      <c r="C99" s="392">
        <v>2281646</v>
      </c>
      <c r="D99" s="392">
        <v>2880000</v>
      </c>
      <c r="E99" s="393">
        <v>2880000</v>
      </c>
      <c r="F99" s="393">
        <v>2630535</v>
      </c>
      <c r="G99" s="394">
        <v>0</v>
      </c>
      <c r="H99" s="394">
        <v>0</v>
      </c>
    </row>
    <row r="100" spans="1:21">
      <c r="A100" s="236" t="s">
        <v>338</v>
      </c>
      <c r="B100" s="267"/>
      <c r="C100" s="267">
        <f t="shared" ref="C100:H100" si="58">SUM(C101:C102)</f>
        <v>13888315</v>
      </c>
      <c r="D100" s="267">
        <f t="shared" si="58"/>
        <v>4794736</v>
      </c>
      <c r="E100" s="267">
        <f t="shared" si="58"/>
        <v>3586000</v>
      </c>
      <c r="F100" s="267">
        <f t="shared" si="58"/>
        <v>14000000</v>
      </c>
      <c r="G100" s="376">
        <f t="shared" si="58"/>
        <v>19000000</v>
      </c>
      <c r="H100" s="385">
        <f t="shared" si="58"/>
        <v>19000000</v>
      </c>
    </row>
    <row r="101" spans="1:21">
      <c r="A101" s="268" t="s">
        <v>336</v>
      </c>
      <c r="B101" s="224"/>
      <c r="C101" s="269">
        <v>11805110.25</v>
      </c>
      <c r="D101" s="269">
        <v>1132975</v>
      </c>
      <c r="E101" s="209"/>
      <c r="F101" s="209">
        <v>10000000</v>
      </c>
      <c r="G101" s="209">
        <v>12000000</v>
      </c>
      <c r="H101" s="209">
        <v>12000000</v>
      </c>
    </row>
    <row r="102" spans="1:21" s="225" customFormat="1">
      <c r="A102" s="268" t="s">
        <v>337</v>
      </c>
      <c r="B102" s="224"/>
      <c r="C102" s="269">
        <v>2083204.75</v>
      </c>
      <c r="D102" s="269">
        <v>3661761</v>
      </c>
      <c r="E102" s="209">
        <v>3586000</v>
      </c>
      <c r="F102" s="209">
        <v>4000000</v>
      </c>
      <c r="G102" s="209">
        <v>7000000</v>
      </c>
      <c r="H102" s="209">
        <v>7000000</v>
      </c>
    </row>
    <row r="103" spans="1:21" s="225" customFormat="1">
      <c r="A103" s="236" t="s">
        <v>339</v>
      </c>
      <c r="B103" s="267"/>
      <c r="C103" s="267">
        <f>SUM(C58,C61,C64,C67,C70,C73,C76,C79,C82,C85,C88,C91,C94,C97,C100)</f>
        <v>34186666.759999998</v>
      </c>
      <c r="D103" s="267">
        <f t="shared" ref="D103:H103" si="59">SUM(D58,D61,D64,D67,D70,D73,D76,D79,D82,D85,D88,D91,D94,D97,D100)</f>
        <v>23905736</v>
      </c>
      <c r="E103" s="267">
        <f t="shared" si="59"/>
        <v>18689487</v>
      </c>
      <c r="F103" s="267">
        <f t="shared" si="59"/>
        <v>18588157.649999999</v>
      </c>
      <c r="G103" s="267">
        <f t="shared" si="59"/>
        <v>19000000</v>
      </c>
      <c r="H103" s="267">
        <f t="shared" si="59"/>
        <v>19000000</v>
      </c>
    </row>
    <row r="104" spans="1:21">
      <c r="A104" s="268" t="s">
        <v>336</v>
      </c>
      <c r="B104" s="224"/>
      <c r="C104" s="224">
        <f>SUM(C59,C62,C65,C68,C71,C74,C77,C80,C83,C86,C89,C92,C95,C98,C101)</f>
        <v>28891954.009999998</v>
      </c>
      <c r="D104" s="224">
        <f t="shared" ref="D104:H105" si="60">SUM(D59,D62,D65,D68,D71,D74,D77,D80,D83,D86,D89,D92,D95,D98,D101)</f>
        <v>16776125</v>
      </c>
      <c r="E104" s="224">
        <f t="shared" si="60"/>
        <v>12047463.949999999</v>
      </c>
      <c r="F104" s="224">
        <f t="shared" si="60"/>
        <v>11957622.649999999</v>
      </c>
      <c r="G104" s="224">
        <f t="shared" si="60"/>
        <v>12000000</v>
      </c>
      <c r="H104" s="224">
        <f t="shared" si="60"/>
        <v>12000000</v>
      </c>
    </row>
    <row r="105" spans="1:21" ht="13.5" thickBot="1">
      <c r="A105" s="268" t="s">
        <v>337</v>
      </c>
      <c r="B105" s="270"/>
      <c r="C105" s="224">
        <f>SUM(C60,C63,C66,C69,C72,C75,C78,C81,C84,C87,C90,C93,C96,C99,C102)</f>
        <v>5294712.75</v>
      </c>
      <c r="D105" s="224">
        <f t="shared" si="60"/>
        <v>7129611</v>
      </c>
      <c r="E105" s="224">
        <f t="shared" si="60"/>
        <v>6642023.0499999998</v>
      </c>
      <c r="F105" s="224">
        <f t="shared" si="60"/>
        <v>6630535</v>
      </c>
      <c r="G105" s="224">
        <f t="shared" si="60"/>
        <v>7000000</v>
      </c>
      <c r="H105" s="224">
        <f t="shared" si="60"/>
        <v>7000000</v>
      </c>
    </row>
    <row r="106" spans="1:21" ht="19.5" customHeight="1">
      <c r="A106" s="271" t="s">
        <v>340</v>
      </c>
    </row>
    <row r="108" spans="1:21">
      <c r="C108" s="328"/>
      <c r="F108" s="328"/>
      <c r="G108" s="328"/>
    </row>
    <row r="110" spans="1:21">
      <c r="C110" s="398"/>
    </row>
    <row r="117" spans="1:1">
      <c r="A117" s="258"/>
    </row>
  </sheetData>
  <sheetProtection selectLockedCells="1" selectUnlockedCells="1"/>
  <mergeCells count="1">
    <mergeCell ref="A1:H1"/>
  </mergeCells>
  <conditionalFormatting sqref="C22:H22 B49:H49">
    <cfRule type="cellIs" dxfId="1" priority="1" stopIfTrue="1" operator="lessThan">
      <formula>0</formula>
    </cfRule>
  </conditionalFormatting>
  <conditionalFormatting sqref="B22">
    <cfRule type="cellIs" priority="2" stopIfTrue="1" operator="lessThan">
      <formula>0</formula>
    </cfRule>
  </conditionalFormatting>
  <pageMargins left="0.74803149606299213" right="0.35433070866141736" top="0.98425196850393704" bottom="0.98425196850393704" header="0.51181102362204722" footer="0.51181102362204722"/>
  <pageSetup paperSize="9" scale="70" firstPageNumber="0" fitToHeight="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zoomScale="120" zoomScaleNormal="120" workbookViewId="0">
      <pane xSplit="1" ySplit="3" topLeftCell="B4" activePane="bottomRight" state="frozen"/>
      <selection sqref="A1:XFD1"/>
      <selection pane="topRight" sqref="A1:XFD1"/>
      <selection pane="bottomLeft" sqref="A1:XFD1"/>
      <selection pane="bottomRight" activeCell="I14" sqref="I14"/>
    </sheetView>
  </sheetViews>
  <sheetFormatPr defaultRowHeight="12.75"/>
  <cols>
    <col min="1" max="1" width="32.140625" customWidth="1"/>
    <col min="2" max="2" width="11.7109375" customWidth="1"/>
    <col min="3" max="8" width="11.7109375" bestFit="1" customWidth="1"/>
    <col min="9" max="9" width="12.42578125" customWidth="1"/>
    <col min="10" max="10" width="12.5703125" customWidth="1"/>
    <col min="11" max="11" width="12.7109375" customWidth="1"/>
  </cols>
  <sheetData>
    <row r="1" spans="1:9">
      <c r="A1" s="441" t="s">
        <v>414</v>
      </c>
      <c r="B1" s="441"/>
      <c r="C1" s="441"/>
      <c r="D1" s="441"/>
      <c r="E1" s="441"/>
      <c r="F1" s="441"/>
      <c r="G1" s="441"/>
      <c r="H1" s="441"/>
    </row>
    <row r="2" spans="1:9" ht="13.5" thickBot="1"/>
    <row r="3" spans="1:9" ht="23.25" thickBot="1">
      <c r="A3" s="361" t="s">
        <v>383</v>
      </c>
      <c r="B3" s="362" t="s">
        <v>384</v>
      </c>
      <c r="C3" s="362" t="s">
        <v>385</v>
      </c>
      <c r="D3" s="362">
        <v>2013</v>
      </c>
      <c r="E3" s="362">
        <v>2014</v>
      </c>
      <c r="F3" s="363">
        <v>2015</v>
      </c>
      <c r="G3" s="364">
        <v>2016</v>
      </c>
      <c r="H3" s="365">
        <v>2017</v>
      </c>
    </row>
    <row r="4" spans="1:9">
      <c r="A4" s="273" t="s">
        <v>341</v>
      </c>
      <c r="B4" s="215">
        <f t="shared" ref="B4:H4" si="0">B5+B8</f>
        <v>7420581.7000000002</v>
      </c>
      <c r="C4" s="215">
        <f t="shared" si="0"/>
        <v>8453606</v>
      </c>
      <c r="D4" s="215">
        <f t="shared" si="0"/>
        <v>8323974.8900000006</v>
      </c>
      <c r="E4" s="215">
        <f t="shared" si="0"/>
        <v>8847363.0790299997</v>
      </c>
      <c r="F4" s="215">
        <f t="shared" si="0"/>
        <v>9098769.17257181</v>
      </c>
      <c r="G4" s="215">
        <f t="shared" si="0"/>
        <v>9514680.390108997</v>
      </c>
      <c r="H4" s="215">
        <f t="shared" si="0"/>
        <v>9736010.679420514</v>
      </c>
    </row>
    <row r="5" spans="1:9">
      <c r="A5" s="274" t="s">
        <v>342</v>
      </c>
      <c r="B5" s="206">
        <f t="shared" ref="B5:H5" si="1">B6+B7</f>
        <v>6053742.04</v>
      </c>
      <c r="C5" s="206">
        <f t="shared" si="1"/>
        <v>6951163</v>
      </c>
      <c r="D5" s="206">
        <f t="shared" si="1"/>
        <v>7159697.8900000006</v>
      </c>
      <c r="E5" s="206">
        <f t="shared" si="1"/>
        <v>7353009.7330299998</v>
      </c>
      <c r="F5" s="206">
        <f t="shared" si="1"/>
        <v>7551540.9958218094</v>
      </c>
      <c r="G5" s="206">
        <f t="shared" si="1"/>
        <v>7755432.6027089972</v>
      </c>
      <c r="H5" s="206">
        <f t="shared" si="1"/>
        <v>7960176.0234205145</v>
      </c>
    </row>
    <row r="6" spans="1:9">
      <c r="A6" s="274" t="s">
        <v>343</v>
      </c>
      <c r="B6" s="275">
        <v>479538</v>
      </c>
      <c r="C6" s="275">
        <v>393025</v>
      </c>
      <c r="D6" s="275">
        <f>C6*D152</f>
        <v>404815.75</v>
      </c>
      <c r="E6" s="275">
        <f>D6*E152</f>
        <v>415745.77524999995</v>
      </c>
      <c r="F6" s="275">
        <f>E6*F152</f>
        <v>426970.91118174989</v>
      </c>
      <c r="G6" s="275">
        <f>F6*G152</f>
        <v>438499.12578365713</v>
      </c>
      <c r="H6" s="275">
        <f>G6*H152</f>
        <v>450075.50270434568</v>
      </c>
      <c r="I6" s="258"/>
    </row>
    <row r="7" spans="1:9">
      <c r="A7" s="274" t="s">
        <v>344</v>
      </c>
      <c r="B7" s="275">
        <v>5574204.04</v>
      </c>
      <c r="C7" s="275">
        <v>6558138</v>
      </c>
      <c r="D7" s="275">
        <f>C7*D152</f>
        <v>6754882.1400000006</v>
      </c>
      <c r="E7" s="275">
        <f>D7*E152</f>
        <v>6937263.9577799998</v>
      </c>
      <c r="F7" s="275">
        <f>E7*F152</f>
        <v>7124570.0846400596</v>
      </c>
      <c r="G7" s="275">
        <f>F7*G152</f>
        <v>7316933.4769253405</v>
      </c>
      <c r="H7" s="275">
        <f>G7*H152</f>
        <v>7510100.5207161689</v>
      </c>
    </row>
    <row r="8" spans="1:9">
      <c r="A8" s="274" t="s">
        <v>345</v>
      </c>
      <c r="B8" s="206">
        <f t="shared" ref="B8:H8" si="2">B9+B10</f>
        <v>1366839.66</v>
      </c>
      <c r="C8" s="206">
        <f t="shared" si="2"/>
        <v>1502443</v>
      </c>
      <c r="D8" s="206">
        <f t="shared" si="2"/>
        <v>1164277</v>
      </c>
      <c r="E8" s="206">
        <f t="shared" si="2"/>
        <v>1494353.3459999999</v>
      </c>
      <c r="F8" s="206">
        <f t="shared" si="2"/>
        <v>1547228.1767500001</v>
      </c>
      <c r="G8" s="206">
        <f t="shared" si="2"/>
        <v>1759247.7874</v>
      </c>
      <c r="H8" s="206">
        <f t="shared" si="2"/>
        <v>1775834.656</v>
      </c>
    </row>
    <row r="9" spans="1:9">
      <c r="A9" s="274" t="s">
        <v>343</v>
      </c>
      <c r="B9" s="275">
        <v>175200</v>
      </c>
      <c r="C9" s="275">
        <v>0</v>
      </c>
      <c r="D9" s="275">
        <v>0</v>
      </c>
      <c r="E9" s="275">
        <v>0</v>
      </c>
      <c r="F9" s="275">
        <v>0</v>
      </c>
      <c r="G9" s="217">
        <v>0</v>
      </c>
      <c r="H9" s="218">
        <v>0</v>
      </c>
    </row>
    <row r="10" spans="1:9">
      <c r="A10" s="274" t="s">
        <v>344</v>
      </c>
      <c r="B10" s="275">
        <v>1191639.6599999999</v>
      </c>
      <c r="C10" s="275">
        <v>1502443</v>
      </c>
      <c r="D10" s="275">
        <v>1164277</v>
      </c>
      <c r="E10" s="275">
        <v>1494353.3459999999</v>
      </c>
      <c r="F10" s="275">
        <v>1547228.1767500001</v>
      </c>
      <c r="G10" s="217">
        <v>1759247.7874</v>
      </c>
      <c r="H10" s="218">
        <v>1775834.656</v>
      </c>
    </row>
    <row r="11" spans="1:9">
      <c r="A11" s="273" t="s">
        <v>346</v>
      </c>
      <c r="B11" s="215">
        <f t="shared" ref="B11:H11" si="3">B12+B15</f>
        <v>0</v>
      </c>
      <c r="C11" s="215">
        <f t="shared" si="3"/>
        <v>0</v>
      </c>
      <c r="D11" s="215">
        <f t="shared" si="3"/>
        <v>0</v>
      </c>
      <c r="E11" s="215">
        <f t="shared" si="3"/>
        <v>0</v>
      </c>
      <c r="F11" s="215">
        <f t="shared" si="3"/>
        <v>0</v>
      </c>
      <c r="G11" s="215">
        <f t="shared" si="3"/>
        <v>0</v>
      </c>
      <c r="H11" s="215">
        <f t="shared" si="3"/>
        <v>0</v>
      </c>
    </row>
    <row r="12" spans="1:9">
      <c r="A12" s="274" t="s">
        <v>342</v>
      </c>
      <c r="B12" s="206">
        <f t="shared" ref="B12:H12" si="4">B13+B14</f>
        <v>0</v>
      </c>
      <c r="C12" s="206">
        <f t="shared" si="4"/>
        <v>0</v>
      </c>
      <c r="D12" s="206">
        <f t="shared" si="4"/>
        <v>0</v>
      </c>
      <c r="E12" s="206">
        <f t="shared" si="4"/>
        <v>0</v>
      </c>
      <c r="F12" s="206">
        <f t="shared" si="4"/>
        <v>0</v>
      </c>
      <c r="G12" s="206">
        <f t="shared" si="4"/>
        <v>0</v>
      </c>
      <c r="H12" s="206">
        <f t="shared" si="4"/>
        <v>0</v>
      </c>
    </row>
    <row r="13" spans="1:9">
      <c r="A13" s="274" t="s">
        <v>343</v>
      </c>
      <c r="B13" s="275"/>
      <c r="C13" s="275"/>
      <c r="D13" s="275"/>
      <c r="E13" s="275"/>
      <c r="F13" s="275"/>
      <c r="G13" s="217"/>
      <c r="H13" s="218"/>
    </row>
    <row r="14" spans="1:9">
      <c r="A14" s="274" t="s">
        <v>344</v>
      </c>
      <c r="B14" s="275"/>
      <c r="C14" s="275"/>
      <c r="D14" s="275"/>
      <c r="E14" s="275"/>
      <c r="F14" s="275"/>
      <c r="G14" s="217"/>
      <c r="H14" s="218"/>
    </row>
    <row r="15" spans="1:9">
      <c r="A15" s="274" t="s">
        <v>345</v>
      </c>
      <c r="B15" s="206">
        <f t="shared" ref="B15:H15" si="5">B16+B17</f>
        <v>0</v>
      </c>
      <c r="C15" s="206">
        <f t="shared" si="5"/>
        <v>0</v>
      </c>
      <c r="D15" s="206">
        <f t="shared" si="5"/>
        <v>0</v>
      </c>
      <c r="E15" s="206">
        <f t="shared" si="5"/>
        <v>0</v>
      </c>
      <c r="F15" s="206">
        <f t="shared" si="5"/>
        <v>0</v>
      </c>
      <c r="G15" s="206">
        <f t="shared" si="5"/>
        <v>0</v>
      </c>
      <c r="H15" s="206">
        <f t="shared" si="5"/>
        <v>0</v>
      </c>
    </row>
    <row r="16" spans="1:9">
      <c r="A16" s="274" t="s">
        <v>343</v>
      </c>
      <c r="B16" s="275"/>
      <c r="C16" s="275"/>
      <c r="D16" s="275"/>
      <c r="E16" s="275"/>
      <c r="F16" s="275"/>
      <c r="G16" s="217"/>
      <c r="H16" s="218"/>
    </row>
    <row r="17" spans="1:8">
      <c r="A17" s="274" t="s">
        <v>344</v>
      </c>
      <c r="B17" s="275"/>
      <c r="C17" s="275"/>
      <c r="D17" s="275"/>
      <c r="E17" s="275"/>
      <c r="F17" s="275"/>
      <c r="G17" s="217"/>
      <c r="H17" s="218"/>
    </row>
    <row r="18" spans="1:8">
      <c r="A18" s="273" t="s">
        <v>347</v>
      </c>
      <c r="B18" s="215">
        <f t="shared" ref="B18:H18" si="6">B19+B22</f>
        <v>253094</v>
      </c>
      <c r="C18" s="215">
        <f t="shared" si="6"/>
        <v>252010</v>
      </c>
      <c r="D18" s="215">
        <f t="shared" si="6"/>
        <v>259570.30000000002</v>
      </c>
      <c r="E18" s="215">
        <f t="shared" si="6"/>
        <v>266578.69809999998</v>
      </c>
      <c r="F18" s="215">
        <f t="shared" si="6"/>
        <v>273776.32294869993</v>
      </c>
      <c r="G18" s="215">
        <f t="shared" si="6"/>
        <v>281168.28366831481</v>
      </c>
      <c r="H18" s="215">
        <f t="shared" si="6"/>
        <v>288591.1263571583</v>
      </c>
    </row>
    <row r="19" spans="1:8">
      <c r="A19" s="274" t="s">
        <v>342</v>
      </c>
      <c r="B19" s="206">
        <f t="shared" ref="B19:H19" si="7">B20+B21</f>
        <v>253094</v>
      </c>
      <c r="C19" s="206">
        <f t="shared" si="7"/>
        <v>252010</v>
      </c>
      <c r="D19" s="206">
        <f t="shared" si="7"/>
        <v>259570.30000000002</v>
      </c>
      <c r="E19" s="206">
        <f t="shared" si="7"/>
        <v>266578.69809999998</v>
      </c>
      <c r="F19" s="206">
        <f t="shared" si="7"/>
        <v>273776.32294869993</v>
      </c>
      <c r="G19" s="206">
        <f t="shared" si="7"/>
        <v>281168.28366831481</v>
      </c>
      <c r="H19" s="206">
        <f t="shared" si="7"/>
        <v>288591.1263571583</v>
      </c>
    </row>
    <row r="20" spans="1:8">
      <c r="A20" s="274" t="s">
        <v>343</v>
      </c>
      <c r="B20" s="275">
        <v>538.1</v>
      </c>
      <c r="C20" s="275">
        <v>0</v>
      </c>
      <c r="D20" s="275">
        <f>C20*D152</f>
        <v>0</v>
      </c>
      <c r="E20" s="275">
        <f>D20*E152</f>
        <v>0</v>
      </c>
      <c r="F20" s="275">
        <f>E20*F152</f>
        <v>0</v>
      </c>
      <c r="G20" s="275">
        <f>F20*G152</f>
        <v>0</v>
      </c>
      <c r="H20" s="275">
        <f>G20*H152</f>
        <v>0</v>
      </c>
    </row>
    <row r="21" spans="1:8">
      <c r="A21" s="274" t="s">
        <v>344</v>
      </c>
      <c r="B21" s="275">
        <v>252555.9</v>
      </c>
      <c r="C21" s="275">
        <v>252010</v>
      </c>
      <c r="D21" s="275">
        <f>C21*D152</f>
        <v>259570.30000000002</v>
      </c>
      <c r="E21" s="275">
        <f>D21*E152</f>
        <v>266578.69809999998</v>
      </c>
      <c r="F21" s="275">
        <f>E21*F152</f>
        <v>273776.32294869993</v>
      </c>
      <c r="G21" s="275">
        <f>F21*G152</f>
        <v>281168.28366831481</v>
      </c>
      <c r="H21" s="275">
        <f>G21*H152</f>
        <v>288591.1263571583</v>
      </c>
    </row>
    <row r="22" spans="1:8">
      <c r="A22" s="274" t="s">
        <v>345</v>
      </c>
      <c r="B22" s="206">
        <f t="shared" ref="B22:H22" si="8">B23+B24</f>
        <v>0</v>
      </c>
      <c r="C22" s="206">
        <f t="shared" si="8"/>
        <v>0</v>
      </c>
      <c r="D22" s="206">
        <f t="shared" si="8"/>
        <v>0</v>
      </c>
      <c r="E22" s="206">
        <f t="shared" si="8"/>
        <v>0</v>
      </c>
      <c r="F22" s="206">
        <f t="shared" si="8"/>
        <v>0</v>
      </c>
      <c r="G22" s="206">
        <f t="shared" si="8"/>
        <v>0</v>
      </c>
      <c r="H22" s="206">
        <f t="shared" si="8"/>
        <v>0</v>
      </c>
    </row>
    <row r="23" spans="1:8">
      <c r="A23" s="274" t="s">
        <v>343</v>
      </c>
      <c r="B23" s="275">
        <v>0</v>
      </c>
      <c r="C23" s="275">
        <v>0</v>
      </c>
      <c r="D23" s="275">
        <v>0</v>
      </c>
      <c r="E23" s="275">
        <v>0</v>
      </c>
      <c r="F23" s="275">
        <v>0</v>
      </c>
      <c r="G23" s="217">
        <v>0</v>
      </c>
      <c r="H23" s="218">
        <v>0</v>
      </c>
    </row>
    <row r="24" spans="1:8">
      <c r="A24" s="274" t="s">
        <v>344</v>
      </c>
      <c r="B24" s="275">
        <v>0</v>
      </c>
      <c r="C24" s="275">
        <v>0</v>
      </c>
      <c r="D24" s="275">
        <v>0</v>
      </c>
      <c r="E24" s="275">
        <v>0</v>
      </c>
      <c r="F24" s="275">
        <v>0</v>
      </c>
      <c r="G24" s="217">
        <v>0</v>
      </c>
      <c r="H24" s="218">
        <v>0</v>
      </c>
    </row>
    <row r="25" spans="1:8">
      <c r="A25" s="273" t="s">
        <v>348</v>
      </c>
      <c r="B25" s="215">
        <f t="shared" ref="B25:H25" si="9">B26+B29</f>
        <v>12630383.08</v>
      </c>
      <c r="C25" s="215">
        <f t="shared" si="9"/>
        <v>33013402</v>
      </c>
      <c r="D25" s="215">
        <f t="shared" si="9"/>
        <v>29688082.59</v>
      </c>
      <c r="E25" s="215">
        <f t="shared" si="9"/>
        <v>27004735.383929998</v>
      </c>
      <c r="F25" s="215">
        <f t="shared" si="9"/>
        <v>21176374.154296108</v>
      </c>
      <c r="G25" s="215">
        <f t="shared" si="9"/>
        <v>21406361.1514621</v>
      </c>
      <c r="H25" s="215">
        <f t="shared" si="9"/>
        <v>21661184.913060702</v>
      </c>
    </row>
    <row r="26" spans="1:8">
      <c r="A26" s="274" t="s">
        <v>342</v>
      </c>
      <c r="B26" s="206">
        <f t="shared" ref="B26:H26" si="10">B27+B28</f>
        <v>9442256</v>
      </c>
      <c r="C26" s="206">
        <f t="shared" si="10"/>
        <v>10272053</v>
      </c>
      <c r="D26" s="206">
        <f t="shared" si="10"/>
        <v>10580214.59</v>
      </c>
      <c r="E26" s="206">
        <f t="shared" si="10"/>
        <v>10865880.38393</v>
      </c>
      <c r="F26" s="206">
        <f t="shared" si="10"/>
        <v>11159259.154296108</v>
      </c>
      <c r="G26" s="206">
        <f t="shared" si="10"/>
        <v>11460559.1514621</v>
      </c>
      <c r="H26" s="206">
        <f t="shared" si="10"/>
        <v>11763117.913060701</v>
      </c>
    </row>
    <row r="27" spans="1:8">
      <c r="A27" s="274" t="s">
        <v>343</v>
      </c>
      <c r="B27" s="275">
        <v>486629.63</v>
      </c>
      <c r="C27" s="275">
        <v>180123</v>
      </c>
      <c r="D27" s="275">
        <f>C27*D152</f>
        <v>185526.69</v>
      </c>
      <c r="E27" s="275">
        <f>D27*E152</f>
        <v>190535.91063</v>
      </c>
      <c r="F27" s="275">
        <f>E27*F152</f>
        <v>195680.38021700998</v>
      </c>
      <c r="G27" s="275">
        <f>F27*G152</f>
        <v>200963.75048286925</v>
      </c>
      <c r="H27" s="275">
        <f>G27*H152</f>
        <v>206269.19349561699</v>
      </c>
    </row>
    <row r="28" spans="1:8">
      <c r="A28" s="274" t="s">
        <v>344</v>
      </c>
      <c r="B28" s="275">
        <v>8955626.3699999992</v>
      </c>
      <c r="C28" s="275">
        <v>10091930</v>
      </c>
      <c r="D28" s="275">
        <f>C28*D152</f>
        <v>10394687.9</v>
      </c>
      <c r="E28" s="275">
        <f>D28*E152</f>
        <v>10675344.473299999</v>
      </c>
      <c r="F28" s="275">
        <f>E28*F152</f>
        <v>10963578.774079097</v>
      </c>
      <c r="G28" s="275">
        <f>F28*G152</f>
        <v>11259595.400979232</v>
      </c>
      <c r="H28" s="275">
        <f>G28*H152</f>
        <v>11556848.719565084</v>
      </c>
    </row>
    <row r="29" spans="1:8">
      <c r="A29" s="274" t="s">
        <v>345</v>
      </c>
      <c r="B29" s="206">
        <f t="shared" ref="B29:H29" si="11">B30+B31</f>
        <v>3188127.08</v>
      </c>
      <c r="C29" s="206">
        <f t="shared" si="11"/>
        <v>22741349</v>
      </c>
      <c r="D29" s="206">
        <f t="shared" si="11"/>
        <v>19107868</v>
      </c>
      <c r="E29" s="206">
        <f t="shared" si="11"/>
        <v>16138855</v>
      </c>
      <c r="F29" s="206">
        <f t="shared" si="11"/>
        <v>10017115</v>
      </c>
      <c r="G29" s="206">
        <f t="shared" si="11"/>
        <v>9945802</v>
      </c>
      <c r="H29" s="206">
        <f t="shared" si="11"/>
        <v>9898067</v>
      </c>
    </row>
    <row r="30" spans="1:8">
      <c r="A30" s="274" t="s">
        <v>343</v>
      </c>
      <c r="B30" s="275">
        <v>485849</v>
      </c>
      <c r="C30" s="275">
        <v>16321934</v>
      </c>
      <c r="D30" s="275">
        <v>14308650</v>
      </c>
      <c r="E30" s="275">
        <v>11568913.949999999</v>
      </c>
      <c r="F30" s="275">
        <v>6000000</v>
      </c>
      <c r="G30" s="217">
        <v>7000000</v>
      </c>
      <c r="H30" s="218">
        <v>7000000</v>
      </c>
    </row>
    <row r="31" spans="1:8">
      <c r="A31" s="274" t="s">
        <v>344</v>
      </c>
      <c r="B31" s="275">
        <v>2702278.08</v>
      </c>
      <c r="C31" s="275">
        <v>6419415</v>
      </c>
      <c r="D31" s="275">
        <v>4799218</v>
      </c>
      <c r="E31" s="275">
        <v>4569941.05</v>
      </c>
      <c r="F31" s="275">
        <v>4017115</v>
      </c>
      <c r="G31" s="217">
        <v>2945802</v>
      </c>
      <c r="H31" s="218">
        <v>2898067</v>
      </c>
    </row>
    <row r="32" spans="1:8">
      <c r="A32" s="273" t="s">
        <v>349</v>
      </c>
      <c r="B32" s="215">
        <f t="shared" ref="B32:H32" si="12">B33+B36</f>
        <v>4656301.9000000004</v>
      </c>
      <c r="C32" s="215">
        <f t="shared" si="12"/>
        <v>4443124</v>
      </c>
      <c r="D32" s="215">
        <f t="shared" si="12"/>
        <v>3950081.93</v>
      </c>
      <c r="E32" s="215">
        <f t="shared" si="12"/>
        <v>4056734.1421099994</v>
      </c>
      <c r="F32" s="215">
        <f t="shared" si="12"/>
        <v>5666265.9639469692</v>
      </c>
      <c r="G32" s="215">
        <f t="shared" si="12"/>
        <v>5778755.144973537</v>
      </c>
      <c r="H32" s="215">
        <f t="shared" si="12"/>
        <v>5891714.280800839</v>
      </c>
    </row>
    <row r="33" spans="1:8">
      <c r="A33" s="274" t="s">
        <v>342</v>
      </c>
      <c r="B33" s="206">
        <f t="shared" ref="B33:H33" si="13">B34+B35</f>
        <v>4498560</v>
      </c>
      <c r="C33" s="206">
        <f t="shared" si="13"/>
        <v>3835031</v>
      </c>
      <c r="D33" s="206">
        <f t="shared" si="13"/>
        <v>3950081.93</v>
      </c>
      <c r="E33" s="206">
        <f t="shared" si="13"/>
        <v>4056734.1421099994</v>
      </c>
      <c r="F33" s="206">
        <f t="shared" si="13"/>
        <v>4166265.9639469692</v>
      </c>
      <c r="G33" s="206">
        <f t="shared" si="13"/>
        <v>4278755.144973537</v>
      </c>
      <c r="H33" s="206">
        <f t="shared" si="13"/>
        <v>4391714.280800839</v>
      </c>
    </row>
    <row r="34" spans="1:8">
      <c r="A34" s="274" t="s">
        <v>343</v>
      </c>
      <c r="B34" s="275">
        <v>26986</v>
      </c>
      <c r="C34" s="275">
        <v>24061</v>
      </c>
      <c r="D34" s="275">
        <f>C34*D152</f>
        <v>24782.83</v>
      </c>
      <c r="E34" s="275">
        <f>D34*E152</f>
        <v>25451.966410000001</v>
      </c>
      <c r="F34" s="275">
        <f>E34*F152</f>
        <v>26139.169503069999</v>
      </c>
      <c r="G34" s="275">
        <f>F34*G152</f>
        <v>26844.927079652887</v>
      </c>
      <c r="H34" s="275">
        <f>G34*H152</f>
        <v>27553.633154555722</v>
      </c>
    </row>
    <row r="35" spans="1:8">
      <c r="A35" s="274" t="s">
        <v>344</v>
      </c>
      <c r="B35" s="275">
        <v>4471574</v>
      </c>
      <c r="C35" s="275">
        <v>3810970</v>
      </c>
      <c r="D35" s="275">
        <f>C35*D152</f>
        <v>3925299.1</v>
      </c>
      <c r="E35" s="275">
        <f>D35*E152</f>
        <v>4031282.1756999996</v>
      </c>
      <c r="F35" s="275">
        <f>E35*F152</f>
        <v>4140126.7944438993</v>
      </c>
      <c r="G35" s="275">
        <f>F35*G152</f>
        <v>4251910.2178938845</v>
      </c>
      <c r="H35" s="275">
        <f>G35*H152</f>
        <v>4364160.6476462828</v>
      </c>
    </row>
    <row r="36" spans="1:8">
      <c r="A36" s="274" t="s">
        <v>345</v>
      </c>
      <c r="B36" s="206">
        <f t="shared" ref="B36:H36" si="14">B37+B38</f>
        <v>157741.9</v>
      </c>
      <c r="C36" s="206">
        <f t="shared" si="14"/>
        <v>608093</v>
      </c>
      <c r="D36" s="206">
        <f t="shared" si="14"/>
        <v>0</v>
      </c>
      <c r="E36" s="206">
        <f t="shared" si="14"/>
        <v>0</v>
      </c>
      <c r="F36" s="206">
        <f t="shared" si="14"/>
        <v>1500000</v>
      </c>
      <c r="G36" s="206">
        <f t="shared" si="14"/>
        <v>1500000</v>
      </c>
      <c r="H36" s="206">
        <f t="shared" si="14"/>
        <v>1500000</v>
      </c>
    </row>
    <row r="37" spans="1:8">
      <c r="A37" s="274" t="s">
        <v>343</v>
      </c>
      <c r="B37" s="275">
        <v>0</v>
      </c>
      <c r="C37" s="275">
        <v>0</v>
      </c>
      <c r="D37" s="275">
        <v>0</v>
      </c>
      <c r="E37" s="275">
        <v>0</v>
      </c>
      <c r="F37" s="275">
        <v>1000000</v>
      </c>
      <c r="G37" s="217">
        <v>1000000</v>
      </c>
      <c r="H37" s="218">
        <v>1000000</v>
      </c>
    </row>
    <row r="38" spans="1:8">
      <c r="A38" s="274" t="s">
        <v>344</v>
      </c>
      <c r="B38" s="275">
        <v>157741.9</v>
      </c>
      <c r="C38" s="275">
        <v>608093</v>
      </c>
      <c r="D38" s="275">
        <v>0</v>
      </c>
      <c r="E38" s="275">
        <v>0</v>
      </c>
      <c r="F38" s="275">
        <v>500000</v>
      </c>
      <c r="G38" s="217">
        <v>500000</v>
      </c>
      <c r="H38" s="218">
        <v>500000</v>
      </c>
    </row>
    <row r="39" spans="1:8">
      <c r="A39" s="273" t="s">
        <v>350</v>
      </c>
      <c r="B39" s="215">
        <f t="shared" ref="B39:H39" si="15">B40+B43</f>
        <v>1650681.18</v>
      </c>
      <c r="C39" s="215">
        <f t="shared" si="15"/>
        <v>1835641</v>
      </c>
      <c r="D39" s="215">
        <f t="shared" si="15"/>
        <v>1711357.61</v>
      </c>
      <c r="E39" s="215">
        <f t="shared" si="15"/>
        <v>1751840.2654699998</v>
      </c>
      <c r="F39" s="215">
        <f t="shared" si="15"/>
        <v>1793415.9526376897</v>
      </c>
      <c r="G39" s="215">
        <f t="shared" si="15"/>
        <v>1836114.1833589072</v>
      </c>
      <c r="H39" s="215">
        <f t="shared" si="15"/>
        <v>1878990.7977995824</v>
      </c>
    </row>
    <row r="40" spans="1:8">
      <c r="A40" s="274" t="s">
        <v>342</v>
      </c>
      <c r="B40" s="206">
        <f t="shared" ref="B40:H40" si="16">B41+B42</f>
        <v>1394365</v>
      </c>
      <c r="C40" s="206">
        <f t="shared" si="16"/>
        <v>1455687</v>
      </c>
      <c r="D40" s="206">
        <f t="shared" si="16"/>
        <v>1499357.61</v>
      </c>
      <c r="E40" s="206">
        <f t="shared" si="16"/>
        <v>1539840.2654699998</v>
      </c>
      <c r="F40" s="206">
        <f t="shared" si="16"/>
        <v>1581415.9526376897</v>
      </c>
      <c r="G40" s="206">
        <f t="shared" si="16"/>
        <v>1624114.1833589072</v>
      </c>
      <c r="H40" s="206">
        <f t="shared" si="16"/>
        <v>1666990.7977995824</v>
      </c>
    </row>
    <row r="41" spans="1:8">
      <c r="A41" s="274" t="s">
        <v>343</v>
      </c>
      <c r="B41" s="275">
        <v>3834.7899999999991</v>
      </c>
      <c r="C41" s="275">
        <v>1342.18</v>
      </c>
      <c r="D41" s="275">
        <f>C41*D152</f>
        <v>1382.4454000000001</v>
      </c>
      <c r="E41" s="275">
        <f>D41*E152</f>
        <v>1419.7714257999999</v>
      </c>
      <c r="F41" s="275">
        <f>E41*F152</f>
        <v>1458.1052542965997</v>
      </c>
      <c r="G41" s="275">
        <f>F41*G152</f>
        <v>1497.4740961626078</v>
      </c>
      <c r="H41" s="275">
        <f>G41*H152</f>
        <v>1537.0074123013005</v>
      </c>
    </row>
    <row r="42" spans="1:8">
      <c r="A42" s="274" t="s">
        <v>344</v>
      </c>
      <c r="B42" s="275">
        <v>1390530.21</v>
      </c>
      <c r="C42" s="275">
        <v>1454344.82</v>
      </c>
      <c r="D42" s="275">
        <f>C42*D152</f>
        <v>1497975.1646</v>
      </c>
      <c r="E42" s="275">
        <f>D42*E152</f>
        <v>1538420.4940441998</v>
      </c>
      <c r="F42" s="275">
        <f>E42*F152</f>
        <v>1579957.847383393</v>
      </c>
      <c r="G42" s="275">
        <f>F42*G152</f>
        <v>1622616.7092627445</v>
      </c>
      <c r="H42" s="275">
        <f>G42*H152</f>
        <v>1665453.790387281</v>
      </c>
    </row>
    <row r="43" spans="1:8">
      <c r="A43" s="274" t="s">
        <v>345</v>
      </c>
      <c r="B43" s="206">
        <f t="shared" ref="B43:H43" si="17">B44+B45</f>
        <v>256316.18000000002</v>
      </c>
      <c r="C43" s="206">
        <f t="shared" si="17"/>
        <v>379954</v>
      </c>
      <c r="D43" s="206">
        <f t="shared" si="17"/>
        <v>212000</v>
      </c>
      <c r="E43" s="206">
        <f t="shared" si="17"/>
        <v>212000</v>
      </c>
      <c r="F43" s="206">
        <f t="shared" si="17"/>
        <v>212000</v>
      </c>
      <c r="G43" s="206">
        <f t="shared" si="17"/>
        <v>212000</v>
      </c>
      <c r="H43" s="206">
        <f t="shared" si="17"/>
        <v>212000</v>
      </c>
    </row>
    <row r="44" spans="1:8">
      <c r="A44" s="274" t="s">
        <v>343</v>
      </c>
      <c r="B44" s="275">
        <v>6300</v>
      </c>
      <c r="C44" s="275">
        <v>0</v>
      </c>
      <c r="D44" s="275">
        <v>0</v>
      </c>
      <c r="E44" s="275">
        <v>0</v>
      </c>
      <c r="F44" s="275">
        <v>0</v>
      </c>
      <c r="G44" s="217">
        <v>0</v>
      </c>
      <c r="H44" s="218">
        <v>0</v>
      </c>
    </row>
    <row r="45" spans="1:8">
      <c r="A45" s="274" t="s">
        <v>344</v>
      </c>
      <c r="B45" s="275">
        <v>250016.18000000002</v>
      </c>
      <c r="C45" s="275">
        <v>379954</v>
      </c>
      <c r="D45" s="275">
        <v>212000</v>
      </c>
      <c r="E45" s="275">
        <v>212000</v>
      </c>
      <c r="F45" s="275">
        <v>212000</v>
      </c>
      <c r="G45" s="217">
        <v>212000</v>
      </c>
      <c r="H45" s="218">
        <v>212000</v>
      </c>
    </row>
    <row r="46" spans="1:8">
      <c r="A46" s="273" t="s">
        <v>351</v>
      </c>
      <c r="B46" s="215">
        <f t="shared" ref="B46:H46" si="18">B47+B50</f>
        <v>393547</v>
      </c>
      <c r="C46" s="215">
        <f t="shared" si="18"/>
        <v>406627</v>
      </c>
      <c r="D46" s="215">
        <f t="shared" si="18"/>
        <v>418825.81</v>
      </c>
      <c r="E46" s="215">
        <f t="shared" si="18"/>
        <v>430134.10686999996</v>
      </c>
      <c r="F46" s="215">
        <f t="shared" si="18"/>
        <v>441747.72775548993</v>
      </c>
      <c r="G46" s="215">
        <f t="shared" si="18"/>
        <v>453674.91640488815</v>
      </c>
      <c r="H46" s="215">
        <f t="shared" si="18"/>
        <v>465651.93419797719</v>
      </c>
    </row>
    <row r="47" spans="1:8">
      <c r="A47" s="274" t="s">
        <v>342</v>
      </c>
      <c r="B47" s="206">
        <f t="shared" ref="B47:H47" si="19">B48+B49</f>
        <v>390677</v>
      </c>
      <c r="C47" s="206">
        <f t="shared" si="19"/>
        <v>406627</v>
      </c>
      <c r="D47" s="206">
        <f t="shared" si="19"/>
        <v>418825.81</v>
      </c>
      <c r="E47" s="206">
        <f t="shared" si="19"/>
        <v>430134.10686999996</v>
      </c>
      <c r="F47" s="206">
        <f t="shared" si="19"/>
        <v>441747.72775548993</v>
      </c>
      <c r="G47" s="206">
        <f t="shared" si="19"/>
        <v>453674.91640488815</v>
      </c>
      <c r="H47" s="206">
        <f t="shared" si="19"/>
        <v>465651.93419797719</v>
      </c>
    </row>
    <row r="48" spans="1:8">
      <c r="A48" s="274" t="s">
        <v>343</v>
      </c>
      <c r="B48" s="275">
        <v>36952.720000000001</v>
      </c>
      <c r="C48" s="275">
        <v>0</v>
      </c>
      <c r="D48" s="275">
        <f>C48*D152</f>
        <v>0</v>
      </c>
      <c r="E48" s="275">
        <f>D48*E152</f>
        <v>0</v>
      </c>
      <c r="F48" s="275">
        <f>E48*F152</f>
        <v>0</v>
      </c>
      <c r="G48" s="275">
        <f>F48*G152</f>
        <v>0</v>
      </c>
      <c r="H48" s="275">
        <f>G48*H152</f>
        <v>0</v>
      </c>
    </row>
    <row r="49" spans="1:8">
      <c r="A49" s="274" t="s">
        <v>344</v>
      </c>
      <c r="B49" s="275">
        <v>353724.28</v>
      </c>
      <c r="C49" s="275">
        <v>406627</v>
      </c>
      <c r="D49" s="275">
        <f>C49*D152</f>
        <v>418825.81</v>
      </c>
      <c r="E49" s="275">
        <f>D49*E152</f>
        <v>430134.10686999996</v>
      </c>
      <c r="F49" s="275">
        <f>E49*F152</f>
        <v>441747.72775548993</v>
      </c>
      <c r="G49" s="275">
        <f>F49*G152</f>
        <v>453674.91640488815</v>
      </c>
      <c r="H49" s="275">
        <f>G49*H152</f>
        <v>465651.93419797719</v>
      </c>
    </row>
    <row r="50" spans="1:8">
      <c r="A50" s="274" t="s">
        <v>345</v>
      </c>
      <c r="B50" s="206">
        <f t="shared" ref="B50:H50" si="20">B51+B52</f>
        <v>2870</v>
      </c>
      <c r="C50" s="206">
        <f t="shared" si="20"/>
        <v>0</v>
      </c>
      <c r="D50" s="206">
        <f t="shared" si="20"/>
        <v>0</v>
      </c>
      <c r="E50" s="206">
        <f t="shared" si="20"/>
        <v>0</v>
      </c>
      <c r="F50" s="206">
        <f t="shared" si="20"/>
        <v>0</v>
      </c>
      <c r="G50" s="206">
        <f t="shared" si="20"/>
        <v>0</v>
      </c>
      <c r="H50" s="206">
        <f t="shared" si="20"/>
        <v>0</v>
      </c>
    </row>
    <row r="51" spans="1:8">
      <c r="A51" s="274" t="s">
        <v>343</v>
      </c>
      <c r="B51" s="275">
        <v>0</v>
      </c>
      <c r="C51" s="275">
        <v>0</v>
      </c>
      <c r="D51" s="275">
        <v>0</v>
      </c>
      <c r="E51" s="275">
        <v>0</v>
      </c>
      <c r="F51" s="275">
        <v>0</v>
      </c>
      <c r="G51" s="217">
        <v>0</v>
      </c>
      <c r="H51" s="218">
        <v>0</v>
      </c>
    </row>
    <row r="52" spans="1:8">
      <c r="A52" s="274" t="s">
        <v>344</v>
      </c>
      <c r="B52" s="275">
        <v>2870</v>
      </c>
      <c r="C52" s="275">
        <v>0</v>
      </c>
      <c r="D52" s="275">
        <v>0</v>
      </c>
      <c r="E52" s="275">
        <v>0</v>
      </c>
      <c r="F52" s="275">
        <v>0</v>
      </c>
      <c r="G52" s="217">
        <v>0</v>
      </c>
      <c r="H52" s="218">
        <v>0</v>
      </c>
    </row>
    <row r="53" spans="1:8">
      <c r="A53" s="273" t="s">
        <v>352</v>
      </c>
      <c r="B53" s="215">
        <f t="shared" ref="B53:H53" si="21">B54+B57</f>
        <v>9910759.379999999</v>
      </c>
      <c r="C53" s="215">
        <f t="shared" si="21"/>
        <v>8860302</v>
      </c>
      <c r="D53" s="215">
        <f t="shared" si="21"/>
        <v>8731497.4200000018</v>
      </c>
      <c r="E53" s="215">
        <f t="shared" si="21"/>
        <v>8080826.3263400001</v>
      </c>
      <c r="F53" s="215">
        <f t="shared" si="21"/>
        <v>9110803.6131511796</v>
      </c>
      <c r="G53" s="215">
        <f t="shared" si="21"/>
        <v>9816295.3107062615</v>
      </c>
      <c r="H53" s="215">
        <f t="shared" si="21"/>
        <v>10022645.506908905</v>
      </c>
    </row>
    <row r="54" spans="1:8">
      <c r="A54" s="274" t="s">
        <v>342</v>
      </c>
      <c r="B54" s="206">
        <f t="shared" ref="B54:H54" si="22">B55+B56</f>
        <v>7330636</v>
      </c>
      <c r="C54" s="206">
        <f t="shared" si="22"/>
        <v>7005714</v>
      </c>
      <c r="D54" s="206">
        <f t="shared" si="22"/>
        <v>7215885.4200000009</v>
      </c>
      <c r="E54" s="206">
        <f t="shared" si="22"/>
        <v>7410714.3263400001</v>
      </c>
      <c r="F54" s="206">
        <f t="shared" si="22"/>
        <v>7610803.6131511796</v>
      </c>
      <c r="G54" s="206">
        <f t="shared" si="22"/>
        <v>7816295.3107062606</v>
      </c>
      <c r="H54" s="206">
        <f t="shared" si="22"/>
        <v>8022645.5069089048</v>
      </c>
    </row>
    <row r="55" spans="1:8">
      <c r="A55" s="274" t="s">
        <v>343</v>
      </c>
      <c r="B55" s="275">
        <v>219343.22</v>
      </c>
      <c r="C55" s="275">
        <v>108819</v>
      </c>
      <c r="D55" s="275">
        <f>C55*D152</f>
        <v>112083.57</v>
      </c>
      <c r="E55" s="275">
        <f>D55*E152</f>
        <v>115109.82639</v>
      </c>
      <c r="F55" s="275">
        <f>E55*F152</f>
        <v>118217.79170253</v>
      </c>
      <c r="G55" s="275">
        <f>F55*G152</f>
        <v>121409.6720784983</v>
      </c>
      <c r="H55" s="275">
        <f>G55*H152</f>
        <v>124614.88742137066</v>
      </c>
    </row>
    <row r="56" spans="1:8">
      <c r="A56" s="274" t="s">
        <v>344</v>
      </c>
      <c r="B56" s="275">
        <v>7111292.7800000003</v>
      </c>
      <c r="C56" s="275">
        <v>6896895</v>
      </c>
      <c r="D56" s="275">
        <f>C56*D152</f>
        <v>7103801.8500000006</v>
      </c>
      <c r="E56" s="275">
        <f>D56*E152</f>
        <v>7295604.4999500001</v>
      </c>
      <c r="F56" s="275">
        <f>E56*F152</f>
        <v>7492585.8214486493</v>
      </c>
      <c r="G56" s="275">
        <f>F56*G152</f>
        <v>7694885.638627762</v>
      </c>
      <c r="H56" s="275">
        <f>G56*H152</f>
        <v>7898030.6194875343</v>
      </c>
    </row>
    <row r="57" spans="1:8">
      <c r="A57" s="274" t="s">
        <v>345</v>
      </c>
      <c r="B57" s="206">
        <f t="shared" ref="B57:H57" si="23">B58+B59</f>
        <v>2580123.38</v>
      </c>
      <c r="C57" s="206">
        <f t="shared" si="23"/>
        <v>1854588</v>
      </c>
      <c r="D57" s="206">
        <f t="shared" si="23"/>
        <v>1515612</v>
      </c>
      <c r="E57" s="206">
        <f t="shared" si="23"/>
        <v>670112</v>
      </c>
      <c r="F57" s="206">
        <f t="shared" si="23"/>
        <v>1500000</v>
      </c>
      <c r="G57" s="206">
        <f t="shared" si="23"/>
        <v>2000000</v>
      </c>
      <c r="H57" s="206">
        <f t="shared" si="23"/>
        <v>2000000</v>
      </c>
    </row>
    <row r="58" spans="1:8">
      <c r="A58" s="274" t="s">
        <v>343</v>
      </c>
      <c r="B58" s="275">
        <v>795006</v>
      </c>
      <c r="C58" s="275">
        <v>16360.96</v>
      </c>
      <c r="D58" s="275">
        <v>1045500</v>
      </c>
      <c r="E58" s="275">
        <v>353600</v>
      </c>
      <c r="F58" s="275">
        <v>1000000</v>
      </c>
      <c r="G58" s="217">
        <v>1000000</v>
      </c>
      <c r="H58" s="218">
        <v>1000000</v>
      </c>
    </row>
    <row r="59" spans="1:8">
      <c r="A59" s="274" t="s">
        <v>344</v>
      </c>
      <c r="B59" s="275">
        <v>1785117.38</v>
      </c>
      <c r="C59" s="275">
        <v>1838227.04</v>
      </c>
      <c r="D59" s="275">
        <v>470112</v>
      </c>
      <c r="E59" s="275">
        <v>316512</v>
      </c>
      <c r="F59" s="275">
        <v>500000</v>
      </c>
      <c r="G59" s="217">
        <v>1000000</v>
      </c>
      <c r="H59" s="218">
        <v>1000000</v>
      </c>
    </row>
    <row r="60" spans="1:8">
      <c r="A60" s="273" t="s">
        <v>353</v>
      </c>
      <c r="B60" s="215">
        <f t="shared" ref="B60:H60" si="24">B61+B64</f>
        <v>49693000.270000003</v>
      </c>
      <c r="C60" s="215">
        <f t="shared" si="24"/>
        <v>59321523</v>
      </c>
      <c r="D60" s="215">
        <f t="shared" si="24"/>
        <v>53750025.769999996</v>
      </c>
      <c r="E60" s="215">
        <f t="shared" si="24"/>
        <v>53704871.553789988</v>
      </c>
      <c r="F60" s="215">
        <f t="shared" si="24"/>
        <v>58784657.045742318</v>
      </c>
      <c r="G60" s="215">
        <f t="shared" si="24"/>
        <v>60268031.193977356</v>
      </c>
      <c r="H60" s="215">
        <f t="shared" si="24"/>
        <v>61735983.015898362</v>
      </c>
    </row>
    <row r="61" spans="1:8">
      <c r="A61" s="274" t="s">
        <v>342</v>
      </c>
      <c r="B61" s="206">
        <f t="shared" ref="B61:H61" si="25">B62+B63</f>
        <v>46051241.600000001</v>
      </c>
      <c r="C61" s="206">
        <f t="shared" si="25"/>
        <v>48780359</v>
      </c>
      <c r="D61" s="206">
        <f t="shared" si="25"/>
        <v>50243769.769999996</v>
      </c>
      <c r="E61" s="206">
        <f t="shared" si="25"/>
        <v>51600351.553789988</v>
      </c>
      <c r="F61" s="206">
        <f t="shared" si="25"/>
        <v>52993561.045742318</v>
      </c>
      <c r="G61" s="206">
        <f t="shared" si="25"/>
        <v>54424387.193977356</v>
      </c>
      <c r="H61" s="206">
        <f t="shared" si="25"/>
        <v>55861191.015898362</v>
      </c>
    </row>
    <row r="62" spans="1:8">
      <c r="A62" s="274" t="s">
        <v>343</v>
      </c>
      <c r="B62" s="275">
        <v>24381583.84</v>
      </c>
      <c r="C62" s="275">
        <v>23672512</v>
      </c>
      <c r="D62" s="275">
        <f>C62*D152</f>
        <v>24382687.359999999</v>
      </c>
      <c r="E62" s="275">
        <f>D62*E152</f>
        <v>25041019.918719996</v>
      </c>
      <c r="F62" s="275">
        <f>E62*F152</f>
        <v>25717127.456525434</v>
      </c>
      <c r="G62" s="275">
        <f>F62*G152</f>
        <v>26411489.89785162</v>
      </c>
      <c r="H62" s="275">
        <f>G62*H152</f>
        <v>27108753.231154904</v>
      </c>
    </row>
    <row r="63" spans="1:8">
      <c r="A63" s="274" t="s">
        <v>344</v>
      </c>
      <c r="B63" s="275">
        <v>21669657.760000002</v>
      </c>
      <c r="C63" s="275">
        <v>25107847</v>
      </c>
      <c r="D63" s="275">
        <f>C63*D152</f>
        <v>25861082.41</v>
      </c>
      <c r="E63" s="275">
        <f>D63*E152</f>
        <v>26559331.635069996</v>
      </c>
      <c r="F63" s="275">
        <f>E63*F152</f>
        <v>27276433.589216884</v>
      </c>
      <c r="G63" s="275">
        <f>F63*G152</f>
        <v>28012897.296125736</v>
      </c>
      <c r="H63" s="275">
        <f>G63*H152</f>
        <v>28752437.784743454</v>
      </c>
    </row>
    <row r="64" spans="1:8">
      <c r="A64" s="274" t="s">
        <v>345</v>
      </c>
      <c r="B64" s="206">
        <f t="shared" ref="B64:H64" si="26">B65+B66</f>
        <v>3641758.6699999995</v>
      </c>
      <c r="C64" s="206">
        <f t="shared" si="26"/>
        <v>10541164</v>
      </c>
      <c r="D64" s="206">
        <f t="shared" si="26"/>
        <v>3506256</v>
      </c>
      <c r="E64" s="206">
        <f t="shared" si="26"/>
        <v>2104520</v>
      </c>
      <c r="F64" s="206">
        <f t="shared" si="26"/>
        <v>5791096</v>
      </c>
      <c r="G64" s="206">
        <f t="shared" si="26"/>
        <v>5843644</v>
      </c>
      <c r="H64" s="206">
        <f t="shared" si="26"/>
        <v>5874792</v>
      </c>
    </row>
    <row r="65" spans="1:8">
      <c r="A65" s="274" t="s">
        <v>343</v>
      </c>
      <c r="B65" s="275">
        <v>1998122.4</v>
      </c>
      <c r="C65" s="275">
        <v>6605822</v>
      </c>
      <c r="D65" s="275">
        <v>289000</v>
      </c>
      <c r="E65" s="275">
        <v>124950</v>
      </c>
      <c r="F65" s="275">
        <v>3957622.6499999985</v>
      </c>
      <c r="G65" s="217">
        <v>3000000</v>
      </c>
      <c r="H65" s="218">
        <v>3000000</v>
      </c>
    </row>
    <row r="66" spans="1:8">
      <c r="A66" s="274" t="s">
        <v>344</v>
      </c>
      <c r="B66" s="275">
        <v>1643636.2699999996</v>
      </c>
      <c r="C66" s="275">
        <v>3935342</v>
      </c>
      <c r="D66" s="275">
        <v>3217256</v>
      </c>
      <c r="E66" s="275">
        <v>1979570</v>
      </c>
      <c r="F66" s="275">
        <v>1833473.3500000015</v>
      </c>
      <c r="G66" s="217">
        <v>2843644</v>
      </c>
      <c r="H66" s="218">
        <v>2874792</v>
      </c>
    </row>
    <row r="67" spans="1:8">
      <c r="A67" s="273" t="s">
        <v>354</v>
      </c>
      <c r="B67" s="215">
        <f t="shared" ref="B67:H67" si="27">B68+B71</f>
        <v>8440652.2200000007</v>
      </c>
      <c r="C67" s="215">
        <f t="shared" si="27"/>
        <v>8293642</v>
      </c>
      <c r="D67" s="215">
        <f t="shared" si="27"/>
        <v>8554217.9000000004</v>
      </c>
      <c r="E67" s="215">
        <f t="shared" si="27"/>
        <v>8783453.7832999993</v>
      </c>
      <c r="F67" s="215">
        <f t="shared" si="27"/>
        <v>9018879.0354490988</v>
      </c>
      <c r="G67" s="215">
        <f t="shared" si="27"/>
        <v>9196660.7694062237</v>
      </c>
      <c r="H67" s="215">
        <f t="shared" si="27"/>
        <v>9439452.6137185488</v>
      </c>
    </row>
    <row r="68" spans="1:8">
      <c r="A68" s="274" t="s">
        <v>342</v>
      </c>
      <c r="B68" s="206">
        <f t="shared" ref="B68:H68" si="28">B69+B70</f>
        <v>7675079</v>
      </c>
      <c r="C68" s="206">
        <f t="shared" si="28"/>
        <v>8242930</v>
      </c>
      <c r="D68" s="206">
        <f t="shared" si="28"/>
        <v>8490217.9000000004</v>
      </c>
      <c r="E68" s="206">
        <f t="shared" si="28"/>
        <v>8719453.7832999993</v>
      </c>
      <c r="F68" s="206">
        <f t="shared" si="28"/>
        <v>8954879.0354490988</v>
      </c>
      <c r="G68" s="206">
        <f t="shared" si="28"/>
        <v>9196660.7694062237</v>
      </c>
      <c r="H68" s="206">
        <f t="shared" si="28"/>
        <v>9439452.6137185488</v>
      </c>
    </row>
    <row r="69" spans="1:8">
      <c r="A69" s="274" t="s">
        <v>343</v>
      </c>
      <c r="B69" s="275">
        <v>1615416</v>
      </c>
      <c r="C69" s="275">
        <v>1526679</v>
      </c>
      <c r="D69" s="275">
        <f>C69*D152</f>
        <v>1572479.37</v>
      </c>
      <c r="E69" s="275">
        <f>D69*E152</f>
        <v>1614936.31299</v>
      </c>
      <c r="F69" s="275">
        <f>E69*F152</f>
        <v>1658539.5934407299</v>
      </c>
      <c r="G69" s="275">
        <f>F69*G152</f>
        <v>1703320.1624636294</v>
      </c>
      <c r="H69" s="275">
        <f>G69*H152</f>
        <v>1748287.8147526691</v>
      </c>
    </row>
    <row r="70" spans="1:8">
      <c r="A70" s="274" t="s">
        <v>344</v>
      </c>
      <c r="B70" s="275">
        <v>6059663</v>
      </c>
      <c r="C70" s="275">
        <v>6716251</v>
      </c>
      <c r="D70" s="275">
        <f>C70*D152</f>
        <v>6917738.5300000003</v>
      </c>
      <c r="E70" s="275">
        <f>D70*E152</f>
        <v>7104517.4703099998</v>
      </c>
      <c r="F70" s="275">
        <f>E70*F152</f>
        <v>7296339.4420083696</v>
      </c>
      <c r="G70" s="275">
        <f>F70*G152</f>
        <v>7493340.606942595</v>
      </c>
      <c r="H70" s="275">
        <f>G70*H152</f>
        <v>7691164.7989658797</v>
      </c>
    </row>
    <row r="71" spans="1:8">
      <c r="A71" s="274" t="s">
        <v>345</v>
      </c>
      <c r="B71" s="206">
        <f t="shared" ref="B71:H71" si="29">B72+B73</f>
        <v>765573.22</v>
      </c>
      <c r="C71" s="206">
        <f t="shared" si="29"/>
        <v>50712</v>
      </c>
      <c r="D71" s="206">
        <f t="shared" si="29"/>
        <v>64000</v>
      </c>
      <c r="E71" s="206">
        <f t="shared" si="29"/>
        <v>64000</v>
      </c>
      <c r="F71" s="206">
        <f t="shared" si="29"/>
        <v>64000</v>
      </c>
      <c r="G71" s="206">
        <f t="shared" si="29"/>
        <v>0</v>
      </c>
      <c r="H71" s="206">
        <f t="shared" si="29"/>
        <v>0</v>
      </c>
    </row>
    <row r="72" spans="1:8">
      <c r="A72" s="274" t="s">
        <v>343</v>
      </c>
      <c r="B72" s="275">
        <v>666448</v>
      </c>
      <c r="C72" s="275">
        <v>0</v>
      </c>
      <c r="D72" s="275">
        <v>0</v>
      </c>
      <c r="E72" s="275">
        <v>0</v>
      </c>
      <c r="F72" s="275">
        <v>0</v>
      </c>
      <c r="G72" s="217">
        <v>0</v>
      </c>
      <c r="H72" s="218">
        <v>0</v>
      </c>
    </row>
    <row r="73" spans="1:8">
      <c r="A73" s="274" t="s">
        <v>344</v>
      </c>
      <c r="B73" s="275">
        <v>99125.219999999972</v>
      </c>
      <c r="C73" s="275">
        <v>50712</v>
      </c>
      <c r="D73" s="275">
        <v>64000</v>
      </c>
      <c r="E73" s="275">
        <v>64000</v>
      </c>
      <c r="F73" s="275">
        <v>64000</v>
      </c>
      <c r="G73" s="217">
        <v>0</v>
      </c>
      <c r="H73" s="218">
        <v>0</v>
      </c>
    </row>
    <row r="74" spans="1:8">
      <c r="A74" s="273" t="s">
        <v>355</v>
      </c>
      <c r="B74" s="215">
        <f t="shared" ref="B74:H75" si="30">B67+B60+B53+B46+B39+B32+B25+B18+B11+B4</f>
        <v>95049000.730000019</v>
      </c>
      <c r="C74" s="215">
        <f t="shared" si="30"/>
        <v>124879877</v>
      </c>
      <c r="D74" s="215">
        <f t="shared" si="30"/>
        <v>115387634.22000001</v>
      </c>
      <c r="E74" s="215">
        <f t="shared" si="30"/>
        <v>112926537.33893999</v>
      </c>
      <c r="F74" s="215">
        <f t="shared" si="30"/>
        <v>115364688.98849934</v>
      </c>
      <c r="G74" s="215">
        <f t="shared" si="30"/>
        <v>118551741.34406659</v>
      </c>
      <c r="H74" s="215">
        <f t="shared" si="30"/>
        <v>121120224.8681626</v>
      </c>
    </row>
    <row r="75" spans="1:8">
      <c r="A75" s="274" t="s">
        <v>342</v>
      </c>
      <c r="B75" s="206">
        <f>B68+B61+B54+B47+B40+B33+B26+B19+B12+B5</f>
        <v>83089650.640000001</v>
      </c>
      <c r="C75" s="206">
        <f t="shared" si="30"/>
        <v>87201574</v>
      </c>
      <c r="D75" s="206">
        <f t="shared" si="30"/>
        <v>89817621.220000014</v>
      </c>
      <c r="E75" s="206">
        <f t="shared" si="30"/>
        <v>92242696.992939994</v>
      </c>
      <c r="F75" s="206">
        <f t="shared" si="30"/>
        <v>94733249.811749339</v>
      </c>
      <c r="G75" s="206">
        <f t="shared" si="30"/>
        <v>97291047.556666583</v>
      </c>
      <c r="H75" s="206">
        <f t="shared" si="30"/>
        <v>99859531.212162569</v>
      </c>
    </row>
    <row r="76" spans="1:8">
      <c r="A76" s="274" t="s">
        <v>343</v>
      </c>
      <c r="B76" s="206">
        <f>B69+B62+B55+B48+B41+B34+B27+B20+B13+B6</f>
        <v>27250822.299999997</v>
      </c>
      <c r="C76" s="206">
        <f t="shared" ref="C76:H77" si="31">C69+C62+C55+C48+C41+C34+C27+C20+C13+C6</f>
        <v>25906561.18</v>
      </c>
      <c r="D76" s="206">
        <f t="shared" si="31"/>
        <v>26683758.0154</v>
      </c>
      <c r="E76" s="206">
        <f t="shared" si="31"/>
        <v>27404219.481815789</v>
      </c>
      <c r="F76" s="206">
        <f t="shared" si="31"/>
        <v>28144133.407824822</v>
      </c>
      <c r="G76" s="206">
        <f t="shared" si="31"/>
        <v>28904025.009836085</v>
      </c>
      <c r="H76" s="206">
        <f t="shared" si="31"/>
        <v>29667091.270095758</v>
      </c>
    </row>
    <row r="77" spans="1:8">
      <c r="A77" s="274" t="s">
        <v>344</v>
      </c>
      <c r="B77" s="206">
        <f>B70+B63+B56+B49+B42+B35+B28+B21+B14+B7</f>
        <v>55838828.339999996</v>
      </c>
      <c r="C77" s="206">
        <f t="shared" si="31"/>
        <v>61295012.82</v>
      </c>
      <c r="D77" s="206">
        <f t="shared" si="31"/>
        <v>63133863.204599999</v>
      </c>
      <c r="E77" s="206">
        <f t="shared" si="31"/>
        <v>64838477.511124209</v>
      </c>
      <c r="F77" s="206">
        <f t="shared" si="31"/>
        <v>66589116.40392454</v>
      </c>
      <c r="G77" s="206">
        <f t="shared" si="31"/>
        <v>68387022.54683049</v>
      </c>
      <c r="H77" s="206">
        <f t="shared" si="31"/>
        <v>70192439.942066833</v>
      </c>
    </row>
    <row r="78" spans="1:8">
      <c r="A78" s="274" t="s">
        <v>345</v>
      </c>
      <c r="B78" s="206">
        <f t="shared" ref="B78:H80" si="32">B71+B64+B57+B50+B43+B36+B29+B22+B15+B8</f>
        <v>11959350.09</v>
      </c>
      <c r="C78" s="206">
        <f t="shared" si="32"/>
        <v>37678303</v>
      </c>
      <c r="D78" s="206">
        <f t="shared" si="32"/>
        <v>25570013</v>
      </c>
      <c r="E78" s="206">
        <f t="shared" si="32"/>
        <v>20683840.346000001</v>
      </c>
      <c r="F78" s="206">
        <f t="shared" si="32"/>
        <v>20631439.176750001</v>
      </c>
      <c r="G78" s="206">
        <f t="shared" si="32"/>
        <v>21260693.7874</v>
      </c>
      <c r="H78" s="206">
        <f t="shared" si="32"/>
        <v>21260693.655999999</v>
      </c>
    </row>
    <row r="79" spans="1:8">
      <c r="A79" s="274" t="s">
        <v>343</v>
      </c>
      <c r="B79" s="206">
        <f t="shared" si="32"/>
        <v>4126925.4</v>
      </c>
      <c r="C79" s="206">
        <f t="shared" si="32"/>
        <v>22944116.960000001</v>
      </c>
      <c r="D79" s="206">
        <f t="shared" si="32"/>
        <v>15643150</v>
      </c>
      <c r="E79" s="206">
        <f t="shared" si="32"/>
        <v>12047463.949999999</v>
      </c>
      <c r="F79" s="206">
        <f t="shared" si="32"/>
        <v>11957622.649999999</v>
      </c>
      <c r="G79" s="206">
        <f t="shared" si="32"/>
        <v>12000000</v>
      </c>
      <c r="H79" s="206">
        <f t="shared" si="32"/>
        <v>12000000</v>
      </c>
    </row>
    <row r="80" spans="1:8">
      <c r="A80" s="276" t="s">
        <v>344</v>
      </c>
      <c r="B80" s="277">
        <f t="shared" si="32"/>
        <v>7832424.6899999995</v>
      </c>
      <c r="C80" s="277">
        <f t="shared" si="32"/>
        <v>14734186.039999999</v>
      </c>
      <c r="D80" s="277">
        <f t="shared" si="32"/>
        <v>9926863</v>
      </c>
      <c r="E80" s="277">
        <f t="shared" si="32"/>
        <v>8636376.3959999997</v>
      </c>
      <c r="F80" s="277">
        <f t="shared" si="32"/>
        <v>8673816.5267500021</v>
      </c>
      <c r="G80" s="277">
        <f t="shared" si="32"/>
        <v>9260693.7873999998</v>
      </c>
      <c r="H80" s="277">
        <f t="shared" si="32"/>
        <v>9260693.6559999995</v>
      </c>
    </row>
    <row r="81" spans="1:8">
      <c r="A81" s="279" t="s">
        <v>356</v>
      </c>
      <c r="B81" s="280">
        <f>B75-'1.2 Strateegia vorm KOV'!B15</f>
        <v>-221560.51000000536</v>
      </c>
      <c r="C81" s="280">
        <f>C75-'1.2 Strateegia vorm KOV'!C15</f>
        <v>0</v>
      </c>
      <c r="D81" s="280">
        <f>D75-'1.2 Strateegia vorm KOV'!D15</f>
        <v>0</v>
      </c>
      <c r="E81" s="280">
        <f>E75-'1.2 Strateegia vorm KOV'!E15</f>
        <v>0</v>
      </c>
      <c r="F81" s="280">
        <f>F75-'1.2 Strateegia vorm KOV'!F15</f>
        <v>0</v>
      </c>
      <c r="G81" s="280">
        <f>G75-'1.2 Strateegia vorm KOV'!G15</f>
        <v>0</v>
      </c>
      <c r="H81" s="280">
        <f>H75-'1.2 Strateegia vorm KOV'!H15</f>
        <v>0</v>
      </c>
    </row>
    <row r="82" spans="1:8" ht="25.5">
      <c r="A82" s="279" t="s">
        <v>357</v>
      </c>
      <c r="B82" s="280">
        <f>B78+'1.2 Strateegia vorm KOV'!B25+'1.2 Strateegia vorm KOV'!B28+'1.2 Strateegia vorm KOV'!B30+'1.2 Strateegia vorm KOV'!B32+'1.2 Strateegia vorm KOV'!B34</f>
        <v>220908.72999999928</v>
      </c>
      <c r="C82" s="280">
        <f>C78+'1.2 Strateegia vorm KOV'!C25+'1.2 Strateegia vorm KOV'!C28+'1.2 Strateegia vorm KOV'!C30+'1.2 Strateegia vorm KOV'!C32+'1.2 Strateegia vorm KOV'!C34</f>
        <v>0.24000000208616257</v>
      </c>
      <c r="D82" s="280">
        <f>D78+'1.2 Strateegia vorm KOV'!D25+'1.2 Strateegia vorm KOV'!D28+'1.2 Strateegia vorm KOV'!D30+'1.2 Strateegia vorm KOV'!D32+'1.2 Strateegia vorm KOV'!D34</f>
        <v>0</v>
      </c>
      <c r="E82" s="280">
        <f>E78+'1.2 Strateegia vorm KOV'!E25+'1.2 Strateegia vorm KOV'!E28+'1.2 Strateegia vorm KOV'!E30+'1.2 Strateegia vorm KOV'!E32+'1.2 Strateegia vorm KOV'!E34</f>
        <v>0</v>
      </c>
      <c r="F82" s="280">
        <f>F78+'1.2 Strateegia vorm KOV'!F25+'1.2 Strateegia vorm KOV'!F28+'1.2 Strateegia vorm KOV'!F30+'1.2 Strateegia vorm KOV'!F32+'1.2 Strateegia vorm KOV'!F34</f>
        <v>0.30000000190921128</v>
      </c>
      <c r="G82" s="280">
        <f>G78+'1.2 Strateegia vorm KOV'!G25+'1.2 Strateegia vorm KOV'!G28+'1.2 Strateegia vorm KOV'!G30+'1.2 Strateegia vorm KOV'!G32+'1.2 Strateegia vorm KOV'!G34</f>
        <v>0.14999999990686774</v>
      </c>
      <c r="H82" s="280">
        <f>H78+'1.2 Strateegia vorm KOV'!G25+'1.2 Strateegia vorm KOV'!G28+'1.2 Strateegia vorm KOV'!G30+'1.2 Strateegia vorm KOV'!G32+'1.2 Strateegia vorm KOV'!G34</f>
        <v>1.8599999602884054E-2</v>
      </c>
    </row>
    <row r="83" spans="1:8" ht="89.25">
      <c r="A83" s="435" t="s">
        <v>358</v>
      </c>
    </row>
    <row r="84" spans="1:8">
      <c r="D84" s="328"/>
      <c r="E84" s="328"/>
      <c r="F84" s="328"/>
      <c r="G84" s="328"/>
      <c r="H84" s="328"/>
    </row>
    <row r="85" spans="1:8" ht="13.5" thickBot="1">
      <c r="A85" s="258"/>
      <c r="C85" s="328"/>
      <c r="D85" s="328"/>
      <c r="E85" s="328"/>
      <c r="F85" s="328"/>
      <c r="G85" s="328"/>
      <c r="H85" s="328"/>
    </row>
    <row r="86" spans="1:8" ht="27" customHeight="1">
      <c r="A86" s="272" t="s">
        <v>359</v>
      </c>
      <c r="B86" s="362" t="s">
        <v>384</v>
      </c>
      <c r="C86" s="362" t="s">
        <v>385</v>
      </c>
      <c r="D86" s="362">
        <v>2013</v>
      </c>
      <c r="E86" s="362">
        <v>2014</v>
      </c>
      <c r="F86" s="363">
        <v>2015</v>
      </c>
      <c r="G86" s="364">
        <v>2016</v>
      </c>
      <c r="H86" s="365">
        <v>2017</v>
      </c>
    </row>
    <row r="87" spans="1:8" s="225" customFormat="1">
      <c r="A87" s="273" t="s">
        <v>77</v>
      </c>
      <c r="B87" s="215">
        <f t="shared" ref="B87:H87" si="33">B88+B89</f>
        <v>6765843.7000000002</v>
      </c>
      <c r="C87" s="215">
        <f t="shared" si="33"/>
        <v>8060581</v>
      </c>
      <c r="D87" s="215">
        <f t="shared" si="33"/>
        <v>7919159.1400000006</v>
      </c>
      <c r="E87" s="215">
        <f t="shared" si="33"/>
        <v>8431617.3037800007</v>
      </c>
      <c r="F87" s="215">
        <f t="shared" si="33"/>
        <v>8671798.2613900602</v>
      </c>
      <c r="G87" s="215">
        <f t="shared" si="33"/>
        <v>9076181.2643253412</v>
      </c>
      <c r="H87" s="215">
        <f t="shared" si="33"/>
        <v>9285935.1767161693</v>
      </c>
    </row>
    <row r="88" spans="1:8" s="225" customFormat="1">
      <c r="A88" s="274" t="s">
        <v>342</v>
      </c>
      <c r="B88" s="206">
        <f t="shared" ref="B88:H88" si="34">B7</f>
        <v>5574204.04</v>
      </c>
      <c r="C88" s="206">
        <f t="shared" si="34"/>
        <v>6558138</v>
      </c>
      <c r="D88" s="206">
        <f t="shared" si="34"/>
        <v>6754882.1400000006</v>
      </c>
      <c r="E88" s="206">
        <f t="shared" si="34"/>
        <v>6937263.9577799998</v>
      </c>
      <c r="F88" s="206">
        <f t="shared" si="34"/>
        <v>7124570.0846400596</v>
      </c>
      <c r="G88" s="206">
        <f t="shared" si="34"/>
        <v>7316933.4769253405</v>
      </c>
      <c r="H88" s="206">
        <f t="shared" si="34"/>
        <v>7510100.5207161689</v>
      </c>
    </row>
    <row r="89" spans="1:8">
      <c r="A89" s="274" t="s">
        <v>345</v>
      </c>
      <c r="B89" s="206">
        <f t="shared" ref="B89:H89" si="35">B10</f>
        <v>1191639.6599999999</v>
      </c>
      <c r="C89" s="206">
        <f t="shared" si="35"/>
        <v>1502443</v>
      </c>
      <c r="D89" s="206">
        <f t="shared" si="35"/>
        <v>1164277</v>
      </c>
      <c r="E89" s="206">
        <f t="shared" si="35"/>
        <v>1494353.3459999999</v>
      </c>
      <c r="F89" s="206">
        <f t="shared" si="35"/>
        <v>1547228.1767500001</v>
      </c>
      <c r="G89" s="206">
        <f t="shared" si="35"/>
        <v>1759247.7874</v>
      </c>
      <c r="H89" s="206">
        <f t="shared" si="35"/>
        <v>1775834.656</v>
      </c>
    </row>
    <row r="90" spans="1:8">
      <c r="A90" s="273" t="s">
        <v>90</v>
      </c>
      <c r="B90" s="215">
        <f t="shared" ref="B90:H90" si="36">B91+B92</f>
        <v>0</v>
      </c>
      <c r="C90" s="215">
        <f t="shared" si="36"/>
        <v>0</v>
      </c>
      <c r="D90" s="215">
        <f t="shared" si="36"/>
        <v>0</v>
      </c>
      <c r="E90" s="215">
        <f t="shared" si="36"/>
        <v>0</v>
      </c>
      <c r="F90" s="215">
        <f t="shared" si="36"/>
        <v>0</v>
      </c>
      <c r="G90" s="215">
        <f t="shared" si="36"/>
        <v>0</v>
      </c>
      <c r="H90" s="216">
        <f t="shared" si="36"/>
        <v>0</v>
      </c>
    </row>
    <row r="91" spans="1:8">
      <c r="A91" s="274" t="s">
        <v>342</v>
      </c>
      <c r="B91" s="206">
        <f t="shared" ref="B91:H91" si="37">B14</f>
        <v>0</v>
      </c>
      <c r="C91" s="206">
        <f t="shared" si="37"/>
        <v>0</v>
      </c>
      <c r="D91" s="206">
        <f t="shared" si="37"/>
        <v>0</v>
      </c>
      <c r="E91" s="206">
        <f t="shared" si="37"/>
        <v>0</v>
      </c>
      <c r="F91" s="206">
        <f t="shared" si="37"/>
        <v>0</v>
      </c>
      <c r="G91" s="206">
        <f t="shared" si="37"/>
        <v>0</v>
      </c>
      <c r="H91" s="206">
        <f t="shared" si="37"/>
        <v>0</v>
      </c>
    </row>
    <row r="92" spans="1:8">
      <c r="A92" s="274" t="s">
        <v>345</v>
      </c>
      <c r="B92" s="206">
        <f t="shared" ref="B92:H92" si="38">B17</f>
        <v>0</v>
      </c>
      <c r="C92" s="206">
        <f t="shared" si="38"/>
        <v>0</v>
      </c>
      <c r="D92" s="206">
        <f t="shared" si="38"/>
        <v>0</v>
      </c>
      <c r="E92" s="206">
        <f t="shared" si="38"/>
        <v>0</v>
      </c>
      <c r="F92" s="206">
        <f t="shared" si="38"/>
        <v>0</v>
      </c>
      <c r="G92" s="206">
        <f t="shared" si="38"/>
        <v>0</v>
      </c>
      <c r="H92" s="206">
        <f t="shared" si="38"/>
        <v>0</v>
      </c>
    </row>
    <row r="93" spans="1:8">
      <c r="A93" s="273" t="s">
        <v>92</v>
      </c>
      <c r="B93" s="215">
        <f t="shared" ref="B93:H93" si="39">B94+B95</f>
        <v>252555.9</v>
      </c>
      <c r="C93" s="215">
        <f t="shared" si="39"/>
        <v>252010</v>
      </c>
      <c r="D93" s="215">
        <f t="shared" si="39"/>
        <v>259570.30000000002</v>
      </c>
      <c r="E93" s="215">
        <f t="shared" si="39"/>
        <v>266578.69809999998</v>
      </c>
      <c r="F93" s="215">
        <f t="shared" si="39"/>
        <v>273776.32294869993</v>
      </c>
      <c r="G93" s="215">
        <f t="shared" si="39"/>
        <v>281168.28366831481</v>
      </c>
      <c r="H93" s="216">
        <f t="shared" si="39"/>
        <v>288591.1263571583</v>
      </c>
    </row>
    <row r="94" spans="1:8">
      <c r="A94" s="274" t="s">
        <v>342</v>
      </c>
      <c r="B94" s="206">
        <f t="shared" ref="B94:H94" si="40">B21</f>
        <v>252555.9</v>
      </c>
      <c r="C94" s="206">
        <f t="shared" si="40"/>
        <v>252010</v>
      </c>
      <c r="D94" s="206">
        <f t="shared" si="40"/>
        <v>259570.30000000002</v>
      </c>
      <c r="E94" s="206">
        <f t="shared" si="40"/>
        <v>266578.69809999998</v>
      </c>
      <c r="F94" s="206">
        <f t="shared" si="40"/>
        <v>273776.32294869993</v>
      </c>
      <c r="G94" s="206">
        <f t="shared" si="40"/>
        <v>281168.28366831481</v>
      </c>
      <c r="H94" s="206">
        <f t="shared" si="40"/>
        <v>288591.1263571583</v>
      </c>
    </row>
    <row r="95" spans="1:8">
      <c r="A95" s="274" t="s">
        <v>345</v>
      </c>
      <c r="B95" s="206">
        <f t="shared" ref="B95:H95" si="41">B24</f>
        <v>0</v>
      </c>
      <c r="C95" s="206">
        <f t="shared" si="41"/>
        <v>0</v>
      </c>
      <c r="D95" s="206">
        <f t="shared" si="41"/>
        <v>0</v>
      </c>
      <c r="E95" s="206">
        <f t="shared" si="41"/>
        <v>0</v>
      </c>
      <c r="F95" s="206">
        <f t="shared" si="41"/>
        <v>0</v>
      </c>
      <c r="G95" s="206">
        <f t="shared" ref="G95" si="42">G22</f>
        <v>0</v>
      </c>
      <c r="H95" s="206">
        <f t="shared" si="41"/>
        <v>0</v>
      </c>
    </row>
    <row r="96" spans="1:8">
      <c r="A96" s="273" t="s">
        <v>99</v>
      </c>
      <c r="B96" s="215">
        <f t="shared" ref="B96:H96" si="43">B97+B98</f>
        <v>11657904.449999999</v>
      </c>
      <c r="C96" s="215">
        <f t="shared" si="43"/>
        <v>16511345</v>
      </c>
      <c r="D96" s="215">
        <f t="shared" si="43"/>
        <v>15193905.9</v>
      </c>
      <c r="E96" s="215">
        <f t="shared" si="43"/>
        <v>15245285.5233</v>
      </c>
      <c r="F96" s="215">
        <f t="shared" si="43"/>
        <v>14980693.774079097</v>
      </c>
      <c r="G96" s="215">
        <f t="shared" si="43"/>
        <v>21406361.1514621</v>
      </c>
      <c r="H96" s="216">
        <f t="shared" si="43"/>
        <v>14454915.719565084</v>
      </c>
    </row>
    <row r="97" spans="1:8">
      <c r="A97" s="274" t="s">
        <v>342</v>
      </c>
      <c r="B97" s="206">
        <f t="shared" ref="B97:H97" si="44">B28</f>
        <v>8955626.3699999992</v>
      </c>
      <c r="C97" s="206">
        <f t="shared" si="44"/>
        <v>10091930</v>
      </c>
      <c r="D97" s="206">
        <f t="shared" si="44"/>
        <v>10394687.9</v>
      </c>
      <c r="E97" s="206">
        <f t="shared" si="44"/>
        <v>10675344.473299999</v>
      </c>
      <c r="F97" s="206">
        <f t="shared" si="44"/>
        <v>10963578.774079097</v>
      </c>
      <c r="G97" s="206">
        <f t="shared" ref="G97" si="45">G24</f>
        <v>0</v>
      </c>
      <c r="H97" s="206">
        <f t="shared" si="44"/>
        <v>11556848.719565084</v>
      </c>
    </row>
    <row r="98" spans="1:8">
      <c r="A98" s="274" t="s">
        <v>345</v>
      </c>
      <c r="B98" s="206">
        <f t="shared" ref="B98:H98" si="46">B31</f>
        <v>2702278.08</v>
      </c>
      <c r="C98" s="206">
        <f t="shared" si="46"/>
        <v>6419415</v>
      </c>
      <c r="D98" s="206">
        <f t="shared" si="46"/>
        <v>4799218</v>
      </c>
      <c r="E98" s="206">
        <f t="shared" si="46"/>
        <v>4569941.05</v>
      </c>
      <c r="F98" s="206">
        <f t="shared" si="46"/>
        <v>4017115</v>
      </c>
      <c r="G98" s="206">
        <f t="shared" ref="G98" si="47">G25</f>
        <v>21406361.1514621</v>
      </c>
      <c r="H98" s="206">
        <f t="shared" si="46"/>
        <v>2898067</v>
      </c>
    </row>
    <row r="99" spans="1:8">
      <c r="A99" s="273" t="s">
        <v>132</v>
      </c>
      <c r="B99" s="215">
        <f t="shared" ref="B99:H99" si="48">B100+B101</f>
        <v>4629315.9000000004</v>
      </c>
      <c r="C99" s="215">
        <f t="shared" si="48"/>
        <v>4419063</v>
      </c>
      <c r="D99" s="215">
        <f t="shared" si="48"/>
        <v>3925299.1</v>
      </c>
      <c r="E99" s="215">
        <f t="shared" si="48"/>
        <v>4031282.1756999996</v>
      </c>
      <c r="F99" s="215">
        <f t="shared" si="48"/>
        <v>4640126.7944438998</v>
      </c>
      <c r="G99" s="215">
        <f t="shared" si="48"/>
        <v>11460559.1514621</v>
      </c>
      <c r="H99" s="216">
        <f t="shared" si="48"/>
        <v>4864160.6476462828</v>
      </c>
    </row>
    <row r="100" spans="1:8">
      <c r="A100" s="274" t="s">
        <v>342</v>
      </c>
      <c r="B100" s="206">
        <f t="shared" ref="B100:H100" si="49">B35</f>
        <v>4471574</v>
      </c>
      <c r="C100" s="206">
        <f t="shared" si="49"/>
        <v>3810970</v>
      </c>
      <c r="D100" s="206">
        <f t="shared" si="49"/>
        <v>3925299.1</v>
      </c>
      <c r="E100" s="206">
        <f t="shared" si="49"/>
        <v>4031282.1756999996</v>
      </c>
      <c r="F100" s="206">
        <f t="shared" si="49"/>
        <v>4140126.7944438993</v>
      </c>
      <c r="G100" s="206">
        <f t="shared" ref="G100" si="50">G27</f>
        <v>200963.75048286925</v>
      </c>
      <c r="H100" s="206">
        <f t="shared" si="49"/>
        <v>4364160.6476462828</v>
      </c>
    </row>
    <row r="101" spans="1:8">
      <c r="A101" s="274" t="s">
        <v>345</v>
      </c>
      <c r="B101" s="206">
        <f t="shared" ref="B101:H101" si="51">B38</f>
        <v>157741.9</v>
      </c>
      <c r="C101" s="206">
        <f t="shared" si="51"/>
        <v>608093</v>
      </c>
      <c r="D101" s="206">
        <f t="shared" si="51"/>
        <v>0</v>
      </c>
      <c r="E101" s="206">
        <f t="shared" si="51"/>
        <v>0</v>
      </c>
      <c r="F101" s="206">
        <f t="shared" si="51"/>
        <v>500000</v>
      </c>
      <c r="G101" s="206">
        <f t="shared" ref="G101" si="52">G28</f>
        <v>11259595.400979232</v>
      </c>
      <c r="H101" s="206">
        <f t="shared" si="51"/>
        <v>500000</v>
      </c>
    </row>
    <row r="102" spans="1:8">
      <c r="A102" s="273" t="s">
        <v>143</v>
      </c>
      <c r="B102" s="215">
        <f t="shared" ref="B102:H102" si="53">B103+B104</f>
        <v>1640546.39</v>
      </c>
      <c r="C102" s="215">
        <f t="shared" si="53"/>
        <v>1834298.82</v>
      </c>
      <c r="D102" s="215">
        <f t="shared" si="53"/>
        <v>1709975.1646</v>
      </c>
      <c r="E102" s="215">
        <f t="shared" si="53"/>
        <v>1750420.4940441998</v>
      </c>
      <c r="F102" s="215">
        <f t="shared" si="53"/>
        <v>1791957.847383393</v>
      </c>
      <c r="G102" s="215">
        <f t="shared" si="53"/>
        <v>9945802</v>
      </c>
      <c r="H102" s="216">
        <f t="shared" si="53"/>
        <v>1877453.790387281</v>
      </c>
    </row>
    <row r="103" spans="1:8">
      <c r="A103" s="274" t="s">
        <v>342</v>
      </c>
      <c r="B103" s="206">
        <f t="shared" ref="B103:H103" si="54">B42</f>
        <v>1390530.21</v>
      </c>
      <c r="C103" s="206">
        <f t="shared" si="54"/>
        <v>1454344.82</v>
      </c>
      <c r="D103" s="206">
        <f t="shared" si="54"/>
        <v>1497975.1646</v>
      </c>
      <c r="E103" s="206">
        <f t="shared" si="54"/>
        <v>1538420.4940441998</v>
      </c>
      <c r="F103" s="206">
        <f t="shared" si="54"/>
        <v>1579957.847383393</v>
      </c>
      <c r="G103" s="206">
        <f t="shared" ref="G103" si="55">G30</f>
        <v>7000000</v>
      </c>
      <c r="H103" s="206">
        <f t="shared" si="54"/>
        <v>1665453.790387281</v>
      </c>
    </row>
    <row r="104" spans="1:8">
      <c r="A104" s="274" t="s">
        <v>345</v>
      </c>
      <c r="B104" s="206">
        <f t="shared" ref="B104:H104" si="56">B45</f>
        <v>250016.18000000002</v>
      </c>
      <c r="C104" s="206">
        <f t="shared" si="56"/>
        <v>379954</v>
      </c>
      <c r="D104" s="206">
        <f t="shared" si="56"/>
        <v>212000</v>
      </c>
      <c r="E104" s="206">
        <f t="shared" si="56"/>
        <v>212000</v>
      </c>
      <c r="F104" s="206">
        <f t="shared" si="56"/>
        <v>212000</v>
      </c>
      <c r="G104" s="206">
        <f t="shared" ref="G104" si="57">G31</f>
        <v>2945802</v>
      </c>
      <c r="H104" s="206">
        <f t="shared" si="56"/>
        <v>212000</v>
      </c>
    </row>
    <row r="105" spans="1:8">
      <c r="A105" s="273" t="s">
        <v>156</v>
      </c>
      <c r="B105" s="215">
        <f t="shared" ref="B105:H105" si="58">B106+B107</f>
        <v>356594.28</v>
      </c>
      <c r="C105" s="215">
        <f t="shared" si="58"/>
        <v>406627</v>
      </c>
      <c r="D105" s="215">
        <f t="shared" si="58"/>
        <v>418825.81</v>
      </c>
      <c r="E105" s="215">
        <f t="shared" si="58"/>
        <v>430134.10686999996</v>
      </c>
      <c r="F105" s="215">
        <f t="shared" si="58"/>
        <v>441747.72775548993</v>
      </c>
      <c r="G105" s="215">
        <f t="shared" si="58"/>
        <v>4305600.0720531894</v>
      </c>
      <c r="H105" s="216">
        <f t="shared" si="58"/>
        <v>465651.93419797719</v>
      </c>
    </row>
    <row r="106" spans="1:8">
      <c r="A106" s="274" t="s">
        <v>342</v>
      </c>
      <c r="B106" s="206">
        <f t="shared" ref="B106:H106" si="59">B49</f>
        <v>353724.28</v>
      </c>
      <c r="C106" s="206">
        <f t="shared" si="59"/>
        <v>406627</v>
      </c>
      <c r="D106" s="206">
        <f t="shared" si="59"/>
        <v>418825.81</v>
      </c>
      <c r="E106" s="206">
        <f t="shared" si="59"/>
        <v>430134.10686999996</v>
      </c>
      <c r="F106" s="206">
        <f t="shared" si="59"/>
        <v>441747.72775548993</v>
      </c>
      <c r="G106" s="206">
        <f t="shared" ref="G106" si="60">G33</f>
        <v>4278755.144973537</v>
      </c>
      <c r="H106" s="206">
        <f t="shared" si="59"/>
        <v>465651.93419797719</v>
      </c>
    </row>
    <row r="107" spans="1:8">
      <c r="A107" s="274" t="s">
        <v>345</v>
      </c>
      <c r="B107" s="206">
        <f t="shared" ref="B107:H107" si="61">B52</f>
        <v>2870</v>
      </c>
      <c r="C107" s="206">
        <f t="shared" si="61"/>
        <v>0</v>
      </c>
      <c r="D107" s="206">
        <f t="shared" si="61"/>
        <v>0</v>
      </c>
      <c r="E107" s="206">
        <f t="shared" si="61"/>
        <v>0</v>
      </c>
      <c r="F107" s="206">
        <f t="shared" si="61"/>
        <v>0</v>
      </c>
      <c r="G107" s="206">
        <f t="shared" ref="G107" si="62">G34</f>
        <v>26844.927079652887</v>
      </c>
      <c r="H107" s="206">
        <f t="shared" si="61"/>
        <v>0</v>
      </c>
    </row>
    <row r="108" spans="1:8">
      <c r="A108" s="273" t="s">
        <v>169</v>
      </c>
      <c r="B108" s="215">
        <f t="shared" ref="B108:H108" si="63">B109+B110</f>
        <v>8896410.1600000001</v>
      </c>
      <c r="C108" s="215">
        <f t="shared" si="63"/>
        <v>8735122.0399999991</v>
      </c>
      <c r="D108" s="215">
        <f t="shared" si="63"/>
        <v>7573913.8500000006</v>
      </c>
      <c r="E108" s="215">
        <f t="shared" si="63"/>
        <v>7612116.4999500001</v>
      </c>
      <c r="F108" s="215">
        <f t="shared" si="63"/>
        <v>7992585.8214486493</v>
      </c>
      <c r="G108" s="215">
        <f t="shared" si="63"/>
        <v>2500000</v>
      </c>
      <c r="H108" s="216">
        <f t="shared" si="63"/>
        <v>8898030.6194875352</v>
      </c>
    </row>
    <row r="109" spans="1:8">
      <c r="A109" s="274" t="s">
        <v>342</v>
      </c>
      <c r="B109" s="206">
        <f t="shared" ref="B109:H109" si="64">B56</f>
        <v>7111292.7800000003</v>
      </c>
      <c r="C109" s="206">
        <f t="shared" si="64"/>
        <v>6896895</v>
      </c>
      <c r="D109" s="206">
        <f t="shared" si="64"/>
        <v>7103801.8500000006</v>
      </c>
      <c r="E109" s="206">
        <f t="shared" si="64"/>
        <v>7295604.4999500001</v>
      </c>
      <c r="F109" s="206">
        <f t="shared" si="64"/>
        <v>7492585.8214486493</v>
      </c>
      <c r="G109" s="206">
        <f t="shared" ref="G109" si="65">G36</f>
        <v>1500000</v>
      </c>
      <c r="H109" s="206">
        <f t="shared" si="64"/>
        <v>7898030.6194875343</v>
      </c>
    </row>
    <row r="110" spans="1:8">
      <c r="A110" s="274" t="s">
        <v>345</v>
      </c>
      <c r="B110" s="206">
        <f t="shared" ref="B110:H110" si="66">B59</f>
        <v>1785117.38</v>
      </c>
      <c r="C110" s="206">
        <f t="shared" si="66"/>
        <v>1838227.04</v>
      </c>
      <c r="D110" s="206">
        <f t="shared" si="66"/>
        <v>470112</v>
      </c>
      <c r="E110" s="206">
        <f t="shared" si="66"/>
        <v>316512</v>
      </c>
      <c r="F110" s="206">
        <f t="shared" si="66"/>
        <v>500000</v>
      </c>
      <c r="G110" s="206">
        <f t="shared" ref="G110" si="67">G37</f>
        <v>1000000</v>
      </c>
      <c r="H110" s="206">
        <f t="shared" si="66"/>
        <v>1000000</v>
      </c>
    </row>
    <row r="111" spans="1:8">
      <c r="A111" s="273" t="s">
        <v>216</v>
      </c>
      <c r="B111" s="215">
        <f t="shared" ref="B111:H111" si="68">B112+B113</f>
        <v>23313294.030000001</v>
      </c>
      <c r="C111" s="215">
        <f t="shared" si="68"/>
        <v>29043189</v>
      </c>
      <c r="D111" s="215">
        <f t="shared" si="68"/>
        <v>29078338.41</v>
      </c>
      <c r="E111" s="215">
        <f t="shared" si="68"/>
        <v>28538901.635069996</v>
      </c>
      <c r="F111" s="215">
        <f t="shared" si="68"/>
        <v>29109906.939216886</v>
      </c>
      <c r="G111" s="215">
        <f t="shared" si="68"/>
        <v>3460228.3667178145</v>
      </c>
      <c r="H111" s="216">
        <f t="shared" si="68"/>
        <v>31627229.784743454</v>
      </c>
    </row>
    <row r="112" spans="1:8">
      <c r="A112" s="274" t="s">
        <v>342</v>
      </c>
      <c r="B112" s="206">
        <f t="shared" ref="B112:H112" si="69">B63</f>
        <v>21669657.760000002</v>
      </c>
      <c r="C112" s="206">
        <f t="shared" si="69"/>
        <v>25107847</v>
      </c>
      <c r="D112" s="206">
        <f t="shared" si="69"/>
        <v>25861082.41</v>
      </c>
      <c r="E112" s="206">
        <f t="shared" si="69"/>
        <v>26559331.635069996</v>
      </c>
      <c r="F112" s="206">
        <f t="shared" si="69"/>
        <v>27276433.589216884</v>
      </c>
      <c r="G112" s="206">
        <f t="shared" ref="G112" si="70">G39</f>
        <v>1836114.1833589072</v>
      </c>
      <c r="H112" s="206">
        <f t="shared" si="69"/>
        <v>28752437.784743454</v>
      </c>
    </row>
    <row r="113" spans="1:8">
      <c r="A113" s="274" t="s">
        <v>345</v>
      </c>
      <c r="B113" s="206">
        <f t="shared" ref="B113:H113" si="71">B66</f>
        <v>1643636.2699999996</v>
      </c>
      <c r="C113" s="206">
        <f t="shared" si="71"/>
        <v>3935342</v>
      </c>
      <c r="D113" s="206">
        <f t="shared" si="71"/>
        <v>3217256</v>
      </c>
      <c r="E113" s="206">
        <f t="shared" si="71"/>
        <v>1979570</v>
      </c>
      <c r="F113" s="206">
        <f t="shared" si="71"/>
        <v>1833473.3500000015</v>
      </c>
      <c r="G113" s="206">
        <f t="shared" ref="G113" si="72">G40</f>
        <v>1624114.1833589072</v>
      </c>
      <c r="H113" s="206">
        <f t="shared" si="71"/>
        <v>2874792</v>
      </c>
    </row>
    <row r="114" spans="1:8">
      <c r="A114" s="273" t="s">
        <v>243</v>
      </c>
      <c r="B114" s="215">
        <f t="shared" ref="B114:H114" si="73">B115+B116</f>
        <v>6158788.2199999997</v>
      </c>
      <c r="C114" s="215">
        <f t="shared" si="73"/>
        <v>6766963</v>
      </c>
      <c r="D114" s="215">
        <f t="shared" si="73"/>
        <v>6981738.5300000003</v>
      </c>
      <c r="E114" s="215">
        <f t="shared" si="73"/>
        <v>7168517.4703099998</v>
      </c>
      <c r="F114" s="215">
        <f t="shared" si="73"/>
        <v>7360339.4420083696</v>
      </c>
      <c r="G114" s="215">
        <f t="shared" si="73"/>
        <v>1834616.7092627445</v>
      </c>
      <c r="H114" s="216">
        <f t="shared" si="73"/>
        <v>7691164.7989658797</v>
      </c>
    </row>
    <row r="115" spans="1:8">
      <c r="A115" s="274" t="s">
        <v>342</v>
      </c>
      <c r="B115" s="206">
        <f t="shared" ref="B115:H115" si="74">B70</f>
        <v>6059663</v>
      </c>
      <c r="C115" s="206">
        <f t="shared" si="74"/>
        <v>6716251</v>
      </c>
      <c r="D115" s="206">
        <f t="shared" si="74"/>
        <v>6917738.5300000003</v>
      </c>
      <c r="E115" s="206">
        <f t="shared" si="74"/>
        <v>7104517.4703099998</v>
      </c>
      <c r="F115" s="206">
        <f t="shared" si="74"/>
        <v>7296339.4420083696</v>
      </c>
      <c r="G115" s="206">
        <f t="shared" ref="G115" si="75">G42</f>
        <v>1622616.7092627445</v>
      </c>
      <c r="H115" s="206">
        <f t="shared" si="74"/>
        <v>7691164.7989658797</v>
      </c>
    </row>
    <row r="116" spans="1:8">
      <c r="A116" s="274" t="s">
        <v>345</v>
      </c>
      <c r="B116" s="206">
        <f t="shared" ref="B116:H116" si="76">B73</f>
        <v>99125.219999999972</v>
      </c>
      <c r="C116" s="206">
        <f t="shared" si="76"/>
        <v>50712</v>
      </c>
      <c r="D116" s="206">
        <f t="shared" si="76"/>
        <v>64000</v>
      </c>
      <c r="E116" s="206">
        <f t="shared" si="76"/>
        <v>64000</v>
      </c>
      <c r="F116" s="206">
        <f t="shared" si="76"/>
        <v>64000</v>
      </c>
      <c r="G116" s="206">
        <f t="shared" ref="G116" si="77">G43</f>
        <v>212000</v>
      </c>
      <c r="H116" s="206">
        <f t="shared" si="76"/>
        <v>0</v>
      </c>
    </row>
    <row r="117" spans="1:8">
      <c r="A117" s="273" t="s">
        <v>355</v>
      </c>
      <c r="B117" s="215">
        <f t="shared" ref="B117:H119" si="78">B114+B111+B108+B105+B102+B99+B96+B93+B90+B87</f>
        <v>63671253.029999994</v>
      </c>
      <c r="C117" s="215">
        <f t="shared" si="78"/>
        <v>76029198.859999999</v>
      </c>
      <c r="D117" s="215">
        <f t="shared" si="78"/>
        <v>73060726.204600006</v>
      </c>
      <c r="E117" s="215">
        <f t="shared" si="78"/>
        <v>73474853.907124206</v>
      </c>
      <c r="F117" s="215">
        <f t="shared" si="78"/>
        <v>75262932.930674553</v>
      </c>
      <c r="G117" s="215">
        <f t="shared" si="78"/>
        <v>64270516.998951614</v>
      </c>
      <c r="H117" s="216">
        <f t="shared" si="78"/>
        <v>79453133.598066807</v>
      </c>
    </row>
    <row r="118" spans="1:8">
      <c r="A118" s="274" t="s">
        <v>342</v>
      </c>
      <c r="B118" s="206">
        <f t="shared" si="78"/>
        <v>55838828.339999996</v>
      </c>
      <c r="C118" s="206">
        <f t="shared" si="78"/>
        <v>61295012.82</v>
      </c>
      <c r="D118" s="206">
        <f t="shared" si="78"/>
        <v>63133863.204599999</v>
      </c>
      <c r="E118" s="206">
        <f t="shared" si="78"/>
        <v>64838477.511124209</v>
      </c>
      <c r="F118" s="206">
        <f t="shared" si="78"/>
        <v>66589116.40392454</v>
      </c>
      <c r="G118" s="206">
        <f t="shared" ref="G118" si="79">G45</f>
        <v>212000</v>
      </c>
      <c r="H118" s="207">
        <f t="shared" si="78"/>
        <v>70192439.942066833</v>
      </c>
    </row>
    <row r="119" spans="1:8" ht="13.5" thickBot="1">
      <c r="A119" s="276" t="s">
        <v>345</v>
      </c>
      <c r="B119" s="277">
        <f t="shared" si="78"/>
        <v>7832424.6899999995</v>
      </c>
      <c r="C119" s="277">
        <f t="shared" si="78"/>
        <v>14734186.039999999</v>
      </c>
      <c r="D119" s="277">
        <f t="shared" si="78"/>
        <v>9926863</v>
      </c>
      <c r="E119" s="277">
        <f t="shared" si="78"/>
        <v>8636376.3959999997</v>
      </c>
      <c r="F119" s="277">
        <f t="shared" si="78"/>
        <v>8673816.5267500021</v>
      </c>
      <c r="G119" s="277">
        <f t="shared" si="78"/>
        <v>40233965.450279891</v>
      </c>
      <c r="H119" s="278">
        <f t="shared" si="78"/>
        <v>9260693.6559999995</v>
      </c>
    </row>
    <row r="152" spans="1:8" hidden="1">
      <c r="A152" s="399" t="s">
        <v>400</v>
      </c>
      <c r="B152" s="399"/>
      <c r="C152" s="399"/>
      <c r="D152" s="400">
        <v>1.03</v>
      </c>
      <c r="E152" s="400">
        <v>1.0269999999999999</v>
      </c>
      <c r="F152" s="400">
        <v>1.0269999999999999</v>
      </c>
      <c r="G152" s="401">
        <v>1.0269999999999999</v>
      </c>
      <c r="H152" s="400">
        <v>1.0264</v>
      </c>
    </row>
  </sheetData>
  <sheetProtection selectLockedCells="1" selectUnlockedCells="1"/>
  <mergeCells count="1">
    <mergeCell ref="A1:H1"/>
  </mergeCells>
  <pageMargins left="0.74803149606299213" right="0.35433070866141736" top="0.98425196850393704" bottom="0.98425196850393704" header="0.51181102362204722" footer="0.51181102362204722"/>
  <pageSetup paperSize="9" scale="8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zoomScale="120" zoomScaleNormal="120" workbookViewId="0">
      <selection activeCell="J19" sqref="J19"/>
    </sheetView>
  </sheetViews>
  <sheetFormatPr defaultRowHeight="12.75" outlineLevelRow="1"/>
  <cols>
    <col min="1" max="1" width="45" style="225" customWidth="1"/>
    <col min="2" max="2" width="10.7109375" style="225" customWidth="1"/>
    <col min="3" max="3" width="10.42578125" style="225" customWidth="1"/>
    <col min="4" max="4" width="9.7109375" style="225" customWidth="1"/>
    <col min="5" max="7" width="10.7109375" style="225" customWidth="1"/>
    <col min="8" max="8" width="9.5703125" style="225" customWidth="1"/>
    <col min="10" max="10" width="11.140625" customWidth="1"/>
  </cols>
  <sheetData>
    <row r="1" spans="1:10" ht="15.75">
      <c r="A1" s="440" t="s">
        <v>415</v>
      </c>
      <c r="B1" s="440"/>
      <c r="C1" s="440"/>
      <c r="D1" s="440"/>
      <c r="E1" s="440"/>
      <c r="F1" s="440"/>
      <c r="G1" s="440"/>
      <c r="H1" s="440"/>
    </row>
    <row r="3" spans="1:10" ht="26.25" customHeight="1">
      <c r="A3" s="416" t="s">
        <v>401</v>
      </c>
      <c r="B3" s="412">
        <v>2011</v>
      </c>
      <c r="C3" s="412">
        <v>2012</v>
      </c>
      <c r="D3" s="412">
        <v>2013</v>
      </c>
      <c r="E3" s="412">
        <v>2014</v>
      </c>
      <c r="F3" s="412">
        <v>2015</v>
      </c>
      <c r="G3" s="413">
        <v>2016</v>
      </c>
      <c r="H3" s="414">
        <v>2017</v>
      </c>
    </row>
    <row r="4" spans="1:10" ht="15" customHeight="1" outlineLevel="1">
      <c r="A4" s="281" t="s">
        <v>360</v>
      </c>
      <c r="B4" s="417">
        <v>244398.58</v>
      </c>
      <c r="C4" s="417">
        <v>253000</v>
      </c>
      <c r="D4" s="282">
        <v>213500</v>
      </c>
      <c r="E4" s="282">
        <v>219264.49999999997</v>
      </c>
      <c r="F4" s="282">
        <v>225184.64149999994</v>
      </c>
      <c r="G4" s="282">
        <v>231264.62682049992</v>
      </c>
      <c r="H4" s="282">
        <v>237508.77174465341</v>
      </c>
    </row>
    <row r="5" spans="1:10" outlineLevel="1">
      <c r="A5" s="205" t="s">
        <v>361</v>
      </c>
      <c r="B5" s="418">
        <v>147093.38</v>
      </c>
      <c r="C5" s="418">
        <v>137358</v>
      </c>
      <c r="D5" s="419">
        <v>146997</v>
      </c>
      <c r="E5" s="419">
        <v>147000</v>
      </c>
      <c r="F5" s="419">
        <v>150969</v>
      </c>
      <c r="G5" s="419">
        <v>155045.163</v>
      </c>
      <c r="H5" s="419">
        <v>159231.38240099998</v>
      </c>
    </row>
    <row r="6" spans="1:10" outlineLevel="1">
      <c r="A6" s="284" t="s">
        <v>362</v>
      </c>
      <c r="B6" s="285"/>
      <c r="C6" s="285"/>
      <c r="D6" s="285"/>
      <c r="E6" s="285"/>
      <c r="F6" s="285"/>
      <c r="G6" s="403"/>
      <c r="H6" s="286"/>
    </row>
    <row r="7" spans="1:10" outlineLevel="1">
      <c r="A7" s="205" t="s">
        <v>363</v>
      </c>
      <c r="B7" s="275">
        <v>23</v>
      </c>
      <c r="C7" s="209">
        <v>0</v>
      </c>
      <c r="D7" s="209">
        <v>0</v>
      </c>
      <c r="E7" s="209">
        <v>0</v>
      </c>
      <c r="F7" s="209">
        <v>0</v>
      </c>
      <c r="G7" s="367">
        <v>0</v>
      </c>
      <c r="H7" s="210">
        <v>0</v>
      </c>
      <c r="I7" s="225"/>
    </row>
    <row r="8" spans="1:10" outlineLevel="1">
      <c r="A8" s="213" t="s">
        <v>364</v>
      </c>
      <c r="B8" s="287">
        <v>231096.47</v>
      </c>
      <c r="C8" s="287">
        <v>250000</v>
      </c>
      <c r="D8" s="287">
        <v>211500</v>
      </c>
      <c r="E8" s="287">
        <v>217210.49999999997</v>
      </c>
      <c r="F8" s="287">
        <v>223075.18349999996</v>
      </c>
      <c r="G8" s="404">
        <v>229098.21345449993</v>
      </c>
      <c r="H8" s="288">
        <v>235283.86521777141</v>
      </c>
    </row>
    <row r="9" spans="1:10" outlineLevel="1">
      <c r="A9" s="289" t="s">
        <v>365</v>
      </c>
      <c r="B9" s="420">
        <v>10879</v>
      </c>
      <c r="C9" s="293">
        <v>11000</v>
      </c>
      <c r="D9" s="293">
        <v>11340.999999999998</v>
      </c>
      <c r="E9" s="293">
        <v>11647.206999999997</v>
      </c>
      <c r="F9" s="293">
        <v>11961.681588999996</v>
      </c>
      <c r="G9" s="406">
        <v>12284.646991902995</v>
      </c>
      <c r="H9" s="294">
        <v>12616.332460684374</v>
      </c>
    </row>
    <row r="10" spans="1:10" outlineLevel="1">
      <c r="A10" s="292" t="s">
        <v>366</v>
      </c>
      <c r="B10" s="275">
        <v>0</v>
      </c>
      <c r="C10" s="293">
        <v>0</v>
      </c>
      <c r="D10" s="293">
        <v>0</v>
      </c>
      <c r="E10" s="293">
        <v>0</v>
      </c>
      <c r="F10" s="293">
        <v>0</v>
      </c>
      <c r="G10" s="406">
        <v>0</v>
      </c>
      <c r="H10" s="294">
        <v>0</v>
      </c>
      <c r="I10" s="225"/>
    </row>
    <row r="11" spans="1:10" outlineLevel="1">
      <c r="A11" s="284" t="s">
        <v>367</v>
      </c>
      <c r="B11" s="295"/>
      <c r="C11" s="296"/>
      <c r="D11" s="296"/>
      <c r="E11" s="296"/>
      <c r="F11" s="296"/>
      <c r="G11" s="407"/>
      <c r="H11" s="297"/>
      <c r="I11" s="225"/>
    </row>
    <row r="12" spans="1:10" outlineLevel="1">
      <c r="A12" s="298" t="s">
        <v>368</v>
      </c>
      <c r="B12" s="215">
        <f t="shared" ref="B12:H12" si="0">B4-B8</f>
        <v>13302.109999999986</v>
      </c>
      <c r="C12" s="215">
        <f t="shared" si="0"/>
        <v>3000</v>
      </c>
      <c r="D12" s="215">
        <f t="shared" si="0"/>
        <v>2000</v>
      </c>
      <c r="E12" s="215">
        <f t="shared" si="0"/>
        <v>2054</v>
      </c>
      <c r="F12" s="215">
        <f t="shared" si="0"/>
        <v>2109.4579999999842</v>
      </c>
      <c r="G12" s="215">
        <f t="shared" si="0"/>
        <v>2166.4133659999934</v>
      </c>
      <c r="H12" s="216">
        <f t="shared" si="0"/>
        <v>2224.9065268819977</v>
      </c>
      <c r="J12" s="212"/>
    </row>
    <row r="13" spans="1:10" outlineLevel="1">
      <c r="A13" s="221" t="s">
        <v>369</v>
      </c>
      <c r="B13" s="287">
        <v>56</v>
      </c>
      <c r="C13" s="287">
        <v>40</v>
      </c>
      <c r="D13" s="287">
        <v>35</v>
      </c>
      <c r="E13" s="287">
        <v>35</v>
      </c>
      <c r="F13" s="287">
        <v>35</v>
      </c>
      <c r="G13" s="404">
        <v>35</v>
      </c>
      <c r="H13" s="288">
        <v>40</v>
      </c>
      <c r="J13" s="212"/>
    </row>
    <row r="14" spans="1:10" outlineLevel="1">
      <c r="A14" s="221" t="s">
        <v>316</v>
      </c>
      <c r="B14" s="215">
        <f t="shared" ref="B14:H14" si="1">B12+B13</f>
        <v>13358.109999999986</v>
      </c>
      <c r="C14" s="215">
        <f t="shared" si="1"/>
        <v>3040</v>
      </c>
      <c r="D14" s="215">
        <f t="shared" si="1"/>
        <v>2035</v>
      </c>
      <c r="E14" s="215">
        <f t="shared" si="1"/>
        <v>2089</v>
      </c>
      <c r="F14" s="215">
        <f t="shared" si="1"/>
        <v>2144.4579999999842</v>
      </c>
      <c r="G14" s="215">
        <f t="shared" si="1"/>
        <v>2201.4133659999934</v>
      </c>
      <c r="H14" s="216">
        <f t="shared" si="1"/>
        <v>2264.9065268819977</v>
      </c>
    </row>
    <row r="15" spans="1:10" outlineLevel="1">
      <c r="A15" s="221" t="s">
        <v>370</v>
      </c>
      <c r="B15" s="287"/>
      <c r="C15" s="287"/>
      <c r="D15" s="287"/>
      <c r="E15" s="287"/>
      <c r="F15" s="287"/>
      <c r="G15" s="404"/>
      <c r="H15" s="288"/>
      <c r="I15" s="299"/>
    </row>
    <row r="16" spans="1:10" ht="25.5" outlineLevel="1">
      <c r="A16" s="236" t="s">
        <v>320</v>
      </c>
      <c r="B16" s="275">
        <v>-2299.27</v>
      </c>
      <c r="C16" s="209"/>
      <c r="D16" s="209"/>
      <c r="E16" s="209"/>
      <c r="F16" s="209"/>
      <c r="G16" s="367"/>
      <c r="H16" s="210"/>
    </row>
    <row r="17" spans="1:8" ht="25.5" outlineLevel="1">
      <c r="A17" s="236" t="s">
        <v>371</v>
      </c>
      <c r="B17" s="275">
        <v>-15657</v>
      </c>
      <c r="C17" s="209"/>
      <c r="D17" s="209"/>
      <c r="E17" s="209"/>
      <c r="F17" s="209"/>
      <c r="G17" s="367"/>
      <c r="H17" s="210"/>
    </row>
    <row r="18" spans="1:8" outlineLevel="1">
      <c r="A18" s="300"/>
      <c r="B18" s="239"/>
      <c r="C18" s="239"/>
      <c r="D18" s="239"/>
      <c r="E18" s="239"/>
      <c r="F18" s="239"/>
      <c r="G18" s="369"/>
      <c r="H18" s="240"/>
    </row>
    <row r="19" spans="1:8" ht="12" customHeight="1" outlineLevel="1">
      <c r="A19" s="236" t="s">
        <v>322</v>
      </c>
      <c r="B19" s="287">
        <v>14813</v>
      </c>
      <c r="C19" s="243">
        <f>B19+C16</f>
        <v>14813</v>
      </c>
      <c r="D19" s="243">
        <f>C19+D16</f>
        <v>14813</v>
      </c>
      <c r="E19" s="243">
        <f>D19+E16</f>
        <v>14813</v>
      </c>
      <c r="F19" s="243">
        <f>E19+F16</f>
        <v>14813</v>
      </c>
      <c r="G19" s="243">
        <f>F19+G16</f>
        <v>14813</v>
      </c>
      <c r="H19" s="244">
        <f>F19+H16</f>
        <v>14813</v>
      </c>
    </row>
    <row r="20" spans="1:8" outlineLevel="1">
      <c r="A20" s="245" t="s">
        <v>323</v>
      </c>
      <c r="B20" s="301">
        <v>0</v>
      </c>
      <c r="C20" s="209"/>
      <c r="D20" s="209"/>
      <c r="E20" s="209"/>
      <c r="F20" s="209"/>
      <c r="G20" s="367"/>
      <c r="H20" s="210"/>
    </row>
    <row r="21" spans="1:8" outlineLevel="1">
      <c r="A21" s="302" t="s">
        <v>372</v>
      </c>
      <c r="B21" s="301"/>
      <c r="C21" s="209"/>
      <c r="D21" s="303"/>
      <c r="E21" s="303"/>
      <c r="F21" s="303"/>
      <c r="G21" s="371"/>
      <c r="H21" s="249"/>
    </row>
    <row r="22" spans="1:8" outlineLevel="1">
      <c r="A22" s="302" t="s">
        <v>373</v>
      </c>
      <c r="B22" s="301"/>
      <c r="C22" s="209"/>
      <c r="D22" s="303"/>
      <c r="E22" s="303"/>
      <c r="F22" s="303"/>
      <c r="G22" s="371"/>
      <c r="H22" s="249"/>
    </row>
    <row r="23" spans="1:8" outlineLevel="1">
      <c r="A23" s="304" t="s">
        <v>374</v>
      </c>
      <c r="B23" s="305"/>
      <c r="C23" s="219"/>
      <c r="D23" s="306"/>
      <c r="E23" s="306"/>
      <c r="F23" s="306"/>
      <c r="G23" s="408"/>
      <c r="H23" s="307"/>
    </row>
    <row r="24" spans="1:8" outlineLevel="1">
      <c r="A24" s="236" t="s">
        <v>375</v>
      </c>
      <c r="B24" s="206">
        <f t="shared" ref="B24:H24" si="2">IF(B20-B19&lt;0,0,B20-B19)</f>
        <v>0</v>
      </c>
      <c r="C24" s="206">
        <f t="shared" si="2"/>
        <v>0</v>
      </c>
      <c r="D24" s="206">
        <f t="shared" si="2"/>
        <v>0</v>
      </c>
      <c r="E24" s="206">
        <f t="shared" si="2"/>
        <v>0</v>
      </c>
      <c r="F24" s="206">
        <f t="shared" si="2"/>
        <v>0</v>
      </c>
      <c r="G24" s="206">
        <f t="shared" si="2"/>
        <v>0</v>
      </c>
      <c r="H24" s="207">
        <f t="shared" si="2"/>
        <v>0</v>
      </c>
    </row>
    <row r="25" spans="1:8" outlineLevel="1">
      <c r="A25" s="308" t="s">
        <v>281</v>
      </c>
      <c r="B25" s="309">
        <f t="shared" ref="B25:H25" si="3">B24/B4</f>
        <v>0</v>
      </c>
      <c r="C25" s="309">
        <f t="shared" si="3"/>
        <v>0</v>
      </c>
      <c r="D25" s="309">
        <f t="shared" si="3"/>
        <v>0</v>
      </c>
      <c r="E25" s="309">
        <f t="shared" si="3"/>
        <v>0</v>
      </c>
      <c r="F25" s="309">
        <f t="shared" si="3"/>
        <v>0</v>
      </c>
      <c r="G25" s="309">
        <f t="shared" si="3"/>
        <v>0</v>
      </c>
      <c r="H25" s="310">
        <f t="shared" si="3"/>
        <v>0</v>
      </c>
    </row>
    <row r="26" spans="1:8">
      <c r="A26" s="259"/>
      <c r="B26" s="311"/>
    </row>
    <row r="27" spans="1:8" ht="27.75" customHeight="1">
      <c r="A27" s="416" t="s">
        <v>402</v>
      </c>
      <c r="B27" s="412">
        <v>2011</v>
      </c>
      <c r="C27" s="412">
        <v>2012</v>
      </c>
      <c r="D27" s="412">
        <v>2013</v>
      </c>
      <c r="E27" s="412">
        <v>2014</v>
      </c>
      <c r="F27" s="412">
        <v>2015</v>
      </c>
      <c r="G27" s="413">
        <v>2016</v>
      </c>
      <c r="H27" s="414">
        <v>2017</v>
      </c>
    </row>
    <row r="28" spans="1:8" outlineLevel="1">
      <c r="A28" s="281" t="s">
        <v>360</v>
      </c>
      <c r="B28" s="282">
        <f>372699-218776</f>
        <v>153923</v>
      </c>
      <c r="C28" s="282">
        <v>455362</v>
      </c>
      <c r="D28" s="282">
        <f t="shared" ref="D28:D29" si="4">C28*1.031</f>
        <v>469478.22199999995</v>
      </c>
      <c r="E28" s="282">
        <f t="shared" ref="E28:H29" si="5">D28*1.027</f>
        <v>482154.13399399992</v>
      </c>
      <c r="F28" s="282">
        <f t="shared" si="5"/>
        <v>495172.29561183788</v>
      </c>
      <c r="G28" s="282">
        <f t="shared" si="5"/>
        <v>508541.94759335747</v>
      </c>
      <c r="H28" s="282">
        <f t="shared" si="5"/>
        <v>522272.58017837809</v>
      </c>
    </row>
    <row r="29" spans="1:8" s="225" customFormat="1" outlineLevel="1">
      <c r="A29" s="205" t="s">
        <v>361</v>
      </c>
      <c r="B29" s="425">
        <f>273746-218776</f>
        <v>54970</v>
      </c>
      <c r="C29" s="425">
        <v>66219</v>
      </c>
      <c r="D29" s="425">
        <f t="shared" si="4"/>
        <v>68271.78899999999</v>
      </c>
      <c r="E29" s="425">
        <f t="shared" si="5"/>
        <v>70115.127302999987</v>
      </c>
      <c r="F29" s="425">
        <f t="shared" si="5"/>
        <v>72008.235740180986</v>
      </c>
      <c r="G29" s="425">
        <f t="shared" si="5"/>
        <v>73952.458105165861</v>
      </c>
      <c r="H29" s="425">
        <f t="shared" si="5"/>
        <v>75949.174474005325</v>
      </c>
    </row>
    <row r="30" spans="1:8" outlineLevel="1">
      <c r="A30" s="284" t="s">
        <v>362</v>
      </c>
      <c r="B30" s="312"/>
      <c r="C30" s="312"/>
      <c r="D30" s="312"/>
      <c r="E30" s="312"/>
      <c r="F30" s="312"/>
      <c r="G30" s="410"/>
      <c r="H30" s="313"/>
    </row>
    <row r="31" spans="1:8" s="225" customFormat="1" outlineLevel="1">
      <c r="A31" s="205" t="s">
        <v>363</v>
      </c>
      <c r="B31" s="275"/>
      <c r="C31" s="209"/>
      <c r="D31" s="209"/>
      <c r="E31" s="209"/>
      <c r="F31" s="209"/>
      <c r="G31" s="367"/>
      <c r="H31" s="210"/>
    </row>
    <row r="32" spans="1:8" s="225" customFormat="1" outlineLevel="1">
      <c r="A32" s="213" t="s">
        <v>364</v>
      </c>
      <c r="B32" s="287">
        <v>236674</v>
      </c>
      <c r="C32" s="287">
        <v>320800</v>
      </c>
      <c r="D32" s="282">
        <v>439745</v>
      </c>
      <c r="E32" s="282">
        <f t="shared" ref="E32:H34" si="6">D32*1.027</f>
        <v>451618.11499999999</v>
      </c>
      <c r="F32" s="282">
        <f t="shared" si="6"/>
        <v>463811.80410499993</v>
      </c>
      <c r="G32" s="282">
        <f t="shared" si="6"/>
        <v>476334.72281583486</v>
      </c>
      <c r="H32" s="282">
        <f t="shared" si="6"/>
        <v>489195.76033186237</v>
      </c>
    </row>
    <row r="33" spans="1:8" s="225" customFormat="1" outlineLevel="1">
      <c r="A33" s="289" t="s">
        <v>365</v>
      </c>
      <c r="B33" s="426">
        <v>441</v>
      </c>
      <c r="C33" s="426">
        <v>500</v>
      </c>
      <c r="D33" s="425">
        <f t="shared" ref="D33:D34" si="7">C33*1.031</f>
        <v>515.5</v>
      </c>
      <c r="E33" s="425">
        <f t="shared" si="6"/>
        <v>529.41849999999999</v>
      </c>
      <c r="F33" s="425">
        <f t="shared" si="6"/>
        <v>543.71279949999996</v>
      </c>
      <c r="G33" s="425">
        <f t="shared" si="6"/>
        <v>558.39304508649991</v>
      </c>
      <c r="H33" s="425">
        <f t="shared" si="6"/>
        <v>573.46965730383533</v>
      </c>
    </row>
    <row r="34" spans="1:8" outlineLevel="1">
      <c r="A34" s="292" t="s">
        <v>366</v>
      </c>
      <c r="B34" s="426">
        <v>611.11</v>
      </c>
      <c r="C34" s="426">
        <v>100</v>
      </c>
      <c r="D34" s="425">
        <f t="shared" si="7"/>
        <v>103.1</v>
      </c>
      <c r="E34" s="425">
        <f t="shared" si="6"/>
        <v>105.88369999999999</v>
      </c>
      <c r="F34" s="425">
        <f t="shared" si="6"/>
        <v>108.74255989999997</v>
      </c>
      <c r="G34" s="425">
        <f t="shared" si="6"/>
        <v>111.67860901729996</v>
      </c>
      <c r="H34" s="425">
        <f t="shared" si="6"/>
        <v>114.69393146076705</v>
      </c>
    </row>
    <row r="35" spans="1:8" outlineLevel="1">
      <c r="A35" s="284" t="s">
        <v>367</v>
      </c>
      <c r="B35" s="295"/>
      <c r="C35" s="296"/>
      <c r="D35" s="296"/>
      <c r="E35" s="296"/>
      <c r="F35" s="296"/>
      <c r="G35" s="407"/>
      <c r="H35" s="297"/>
    </row>
    <row r="36" spans="1:8" outlineLevel="1">
      <c r="A36" s="298" t="s">
        <v>368</v>
      </c>
      <c r="B36" s="215">
        <f t="shared" ref="B36:H36" si="8">B28-B32</f>
        <v>-82751</v>
      </c>
      <c r="C36" s="215">
        <f t="shared" si="8"/>
        <v>134562</v>
      </c>
      <c r="D36" s="215">
        <f t="shared" si="8"/>
        <v>29733.221999999951</v>
      </c>
      <c r="E36" s="215">
        <f t="shared" si="8"/>
        <v>30536.018993999925</v>
      </c>
      <c r="F36" s="215">
        <f t="shared" si="8"/>
        <v>31360.491506837949</v>
      </c>
      <c r="G36" s="215">
        <f t="shared" si="8"/>
        <v>32207.224777522613</v>
      </c>
      <c r="H36" s="216">
        <f t="shared" si="8"/>
        <v>33076.819846515718</v>
      </c>
    </row>
    <row r="37" spans="1:8" outlineLevel="1">
      <c r="A37" s="314" t="s">
        <v>369</v>
      </c>
      <c r="B37" s="287">
        <v>-34781</v>
      </c>
      <c r="C37" s="287">
        <v>-127823</v>
      </c>
      <c r="D37" s="287">
        <v>-3000</v>
      </c>
      <c r="E37" s="287">
        <v>-3000</v>
      </c>
      <c r="F37" s="287">
        <v>-3000</v>
      </c>
      <c r="G37" s="404">
        <v>-3000</v>
      </c>
      <c r="H37" s="288">
        <v>-3000</v>
      </c>
    </row>
    <row r="38" spans="1:8" outlineLevel="1">
      <c r="A38" s="221" t="s">
        <v>316</v>
      </c>
      <c r="B38" s="215">
        <f t="shared" ref="B38:H38" si="9">B36+B37</f>
        <v>-117532</v>
      </c>
      <c r="C38" s="215">
        <f t="shared" si="9"/>
        <v>6739</v>
      </c>
      <c r="D38" s="215">
        <f t="shared" si="9"/>
        <v>26733.221999999951</v>
      </c>
      <c r="E38" s="215">
        <f t="shared" si="9"/>
        <v>27536.018993999925</v>
      </c>
      <c r="F38" s="215">
        <f t="shared" si="9"/>
        <v>28360.491506837949</v>
      </c>
      <c r="G38" s="215">
        <f t="shared" si="9"/>
        <v>29207.224777522613</v>
      </c>
      <c r="H38" s="216">
        <f t="shared" si="9"/>
        <v>30076.819846515718</v>
      </c>
    </row>
    <row r="39" spans="1:8" outlineLevel="1">
      <c r="A39" s="221" t="s">
        <v>370</v>
      </c>
      <c r="B39" s="287">
        <v>30000</v>
      </c>
      <c r="C39" s="287">
        <v>-30000</v>
      </c>
      <c r="D39" s="287">
        <v>0</v>
      </c>
      <c r="E39" s="287">
        <v>0</v>
      </c>
      <c r="F39" s="287">
        <v>0</v>
      </c>
      <c r="G39" s="287">
        <v>0</v>
      </c>
      <c r="H39" s="288">
        <v>0</v>
      </c>
    </row>
    <row r="40" spans="1:8" ht="25.5" outlineLevel="1">
      <c r="A40" s="236" t="s">
        <v>320</v>
      </c>
      <c r="B40" s="427">
        <v>-290</v>
      </c>
      <c r="C40" s="209">
        <v>15000</v>
      </c>
      <c r="D40" s="209">
        <v>0</v>
      </c>
      <c r="E40" s="209">
        <v>0</v>
      </c>
      <c r="F40" s="209">
        <v>0</v>
      </c>
      <c r="G40" s="209">
        <v>0</v>
      </c>
      <c r="H40" s="210">
        <v>0</v>
      </c>
    </row>
    <row r="41" spans="1:8" ht="25.5" outlineLevel="1">
      <c r="A41" s="236" t="s">
        <v>371</v>
      </c>
      <c r="B41" s="427">
        <v>87242</v>
      </c>
      <c r="C41" s="209">
        <v>5000</v>
      </c>
      <c r="D41" s="209">
        <v>5500</v>
      </c>
      <c r="E41" s="209">
        <v>6000</v>
      </c>
      <c r="F41" s="209">
        <v>7500</v>
      </c>
      <c r="G41" s="209">
        <v>8500</v>
      </c>
      <c r="H41" s="210">
        <v>9000</v>
      </c>
    </row>
    <row r="42" spans="1:8" outlineLevel="1">
      <c r="A42" s="300"/>
      <c r="B42" s="239"/>
      <c r="C42" s="239"/>
      <c r="D42" s="239"/>
      <c r="E42" s="239"/>
      <c r="F42" s="239"/>
      <c r="G42" s="369"/>
      <c r="H42" s="240"/>
    </row>
    <row r="43" spans="1:8" ht="25.5" outlineLevel="1">
      <c r="A43" s="236" t="s">
        <v>322</v>
      </c>
      <c r="B43" s="287">
        <v>10035</v>
      </c>
      <c r="C43" s="243">
        <f>B43+C40</f>
        <v>25035</v>
      </c>
      <c r="D43" s="243">
        <f>C43+D40</f>
        <v>25035</v>
      </c>
      <c r="E43" s="243">
        <f>D43+E40</f>
        <v>25035</v>
      </c>
      <c r="F43" s="243">
        <f>E43+F40</f>
        <v>25035</v>
      </c>
      <c r="G43" s="243">
        <f>F43+G40</f>
        <v>25035</v>
      </c>
      <c r="H43" s="244">
        <f>F43+H40</f>
        <v>25035</v>
      </c>
    </row>
    <row r="44" spans="1:8" outlineLevel="1">
      <c r="A44" s="245" t="s">
        <v>323</v>
      </c>
      <c r="B44" s="287">
        <v>81129</v>
      </c>
      <c r="C44" s="432">
        <v>51129</v>
      </c>
      <c r="D44" s="432">
        <v>51129</v>
      </c>
      <c r="E44" s="432">
        <v>51129</v>
      </c>
      <c r="F44" s="432">
        <v>51129</v>
      </c>
      <c r="G44" s="432">
        <v>51129</v>
      </c>
      <c r="H44" s="432">
        <v>51129</v>
      </c>
    </row>
    <row r="45" spans="1:8" outlineLevel="1">
      <c r="A45" s="302" t="s">
        <v>372</v>
      </c>
      <c r="B45" s="428">
        <v>0</v>
      </c>
      <c r="C45" s="429"/>
      <c r="D45" s="430"/>
      <c r="E45" s="430"/>
      <c r="F45" s="430"/>
      <c r="G45" s="430"/>
      <c r="H45" s="431"/>
    </row>
    <row r="46" spans="1:8" outlineLevel="1">
      <c r="A46" s="302" t="s">
        <v>373</v>
      </c>
      <c r="B46" s="427">
        <v>81129</v>
      </c>
      <c r="C46" s="429">
        <v>51129</v>
      </c>
      <c r="D46" s="429">
        <v>51129</v>
      </c>
      <c r="E46" s="429">
        <v>51129</v>
      </c>
      <c r="F46" s="429">
        <v>51129</v>
      </c>
      <c r="G46" s="429">
        <v>51129</v>
      </c>
      <c r="H46" s="429">
        <v>51129</v>
      </c>
    </row>
    <row r="47" spans="1:8" outlineLevel="1">
      <c r="A47" s="304" t="s">
        <v>374</v>
      </c>
      <c r="B47" s="305"/>
      <c r="C47" s="219"/>
      <c r="D47" s="306"/>
      <c r="E47" s="306"/>
      <c r="F47" s="306"/>
      <c r="G47" s="408"/>
      <c r="H47" s="307"/>
    </row>
    <row r="48" spans="1:8" outlineLevel="1">
      <c r="A48" s="236" t="s">
        <v>375</v>
      </c>
      <c r="B48" s="206">
        <f t="shared" ref="B48:H48" si="10">IF(B44-B43&lt;0,0,B44-B43)</f>
        <v>71094</v>
      </c>
      <c r="C48" s="206">
        <f t="shared" si="10"/>
        <v>26094</v>
      </c>
      <c r="D48" s="206">
        <f t="shared" si="10"/>
        <v>26094</v>
      </c>
      <c r="E48" s="206">
        <f t="shared" si="10"/>
        <v>26094</v>
      </c>
      <c r="F48" s="206">
        <f t="shared" si="10"/>
        <v>26094</v>
      </c>
      <c r="G48" s="206">
        <f t="shared" si="10"/>
        <v>26094</v>
      </c>
      <c r="H48" s="206">
        <f t="shared" si="10"/>
        <v>26094</v>
      </c>
    </row>
    <row r="49" spans="1:8" outlineLevel="1">
      <c r="A49" s="308" t="s">
        <v>281</v>
      </c>
      <c r="B49" s="309">
        <f t="shared" ref="B49:H49" si="11">B48/B28</f>
        <v>0.46188029079474802</v>
      </c>
      <c r="C49" s="309">
        <f t="shared" si="11"/>
        <v>5.7303859347068928E-2</v>
      </c>
      <c r="D49" s="309">
        <f t="shared" si="11"/>
        <v>5.5580852906953374E-2</v>
      </c>
      <c r="E49" s="309">
        <f t="shared" si="11"/>
        <v>5.4119623083693655E-2</v>
      </c>
      <c r="F49" s="309">
        <f t="shared" si="11"/>
        <v>5.2696809234365781E-2</v>
      </c>
      <c r="G49" s="309">
        <f t="shared" si="11"/>
        <v>5.1311401396656069E-2</v>
      </c>
      <c r="H49" s="309">
        <f t="shared" si="11"/>
        <v>4.996241616032724E-2</v>
      </c>
    </row>
    <row r="51" spans="1:8" ht="24.75" customHeight="1">
      <c r="A51" s="416" t="s">
        <v>403</v>
      </c>
      <c r="B51" s="412">
        <v>2011</v>
      </c>
      <c r="C51" s="412">
        <v>2012</v>
      </c>
      <c r="D51" s="412">
        <v>2013</v>
      </c>
      <c r="E51" s="412">
        <v>2014</v>
      </c>
      <c r="F51" s="412">
        <v>2015</v>
      </c>
      <c r="G51" s="413">
        <v>2016</v>
      </c>
      <c r="H51" s="414">
        <v>2017</v>
      </c>
    </row>
    <row r="52" spans="1:8" outlineLevel="1">
      <c r="A52" s="281" t="s">
        <v>360</v>
      </c>
      <c r="B52" s="282">
        <v>796700</v>
      </c>
      <c r="C52" s="282">
        <v>846016</v>
      </c>
      <c r="D52" s="282">
        <f t="shared" ref="D52:D53" si="12">C52*1.031</f>
        <v>872242.49599999993</v>
      </c>
      <c r="E52" s="282">
        <f t="shared" ref="E52:H53" si="13">D52*1.027</f>
        <v>895793.0433919999</v>
      </c>
      <c r="F52" s="282">
        <f t="shared" si="13"/>
        <v>919979.45556358388</v>
      </c>
      <c r="G52" s="282">
        <f t="shared" si="13"/>
        <v>944818.90086380055</v>
      </c>
      <c r="H52" s="282">
        <f t="shared" si="13"/>
        <v>970329.01118712313</v>
      </c>
    </row>
    <row r="53" spans="1:8" outlineLevel="1">
      <c r="A53" s="205" t="s">
        <v>361</v>
      </c>
      <c r="B53" s="425">
        <v>302460</v>
      </c>
      <c r="C53" s="425">
        <v>287958</v>
      </c>
      <c r="D53" s="425">
        <f t="shared" si="12"/>
        <v>296884.69799999997</v>
      </c>
      <c r="E53" s="425">
        <f t="shared" si="13"/>
        <v>304900.58484599995</v>
      </c>
      <c r="F53" s="425">
        <f t="shared" si="13"/>
        <v>313132.90063684195</v>
      </c>
      <c r="G53" s="425">
        <f t="shared" si="13"/>
        <v>321587.48895403667</v>
      </c>
      <c r="H53" s="425">
        <f t="shared" si="13"/>
        <v>330270.35115579562</v>
      </c>
    </row>
    <row r="54" spans="1:8" outlineLevel="1">
      <c r="A54" s="284" t="s">
        <v>362</v>
      </c>
      <c r="B54" s="312"/>
      <c r="C54" s="312"/>
      <c r="D54" s="312"/>
      <c r="E54" s="312"/>
      <c r="F54" s="312"/>
      <c r="G54" s="410"/>
      <c r="H54" s="313"/>
    </row>
    <row r="55" spans="1:8" outlineLevel="1">
      <c r="A55" s="205" t="s">
        <v>363</v>
      </c>
      <c r="B55" s="275"/>
      <c r="C55" s="209"/>
      <c r="D55" s="209"/>
      <c r="E55" s="209"/>
      <c r="F55" s="209"/>
      <c r="G55" s="367"/>
      <c r="H55" s="210"/>
    </row>
    <row r="56" spans="1:8" outlineLevel="1">
      <c r="A56" s="213" t="s">
        <v>364</v>
      </c>
      <c r="B56" s="287">
        <v>793923</v>
      </c>
      <c r="C56" s="287">
        <v>831016</v>
      </c>
      <c r="D56" s="282">
        <f t="shared" ref="D56:D57" si="14">C56*1.031</f>
        <v>856777.49599999993</v>
      </c>
      <c r="E56" s="282">
        <f t="shared" ref="E56:H57" si="15">D56*1.027</f>
        <v>879910.48839199985</v>
      </c>
      <c r="F56" s="282">
        <f t="shared" si="15"/>
        <v>903668.0715785838</v>
      </c>
      <c r="G56" s="282">
        <f t="shared" si="15"/>
        <v>928067.10951120546</v>
      </c>
      <c r="H56" s="282">
        <f t="shared" si="15"/>
        <v>953124.92146800796</v>
      </c>
    </row>
    <row r="57" spans="1:8" outlineLevel="1">
      <c r="A57" s="316" t="s">
        <v>365</v>
      </c>
      <c r="B57" s="426">
        <v>6140.41</v>
      </c>
      <c r="C57" s="426">
        <v>6200</v>
      </c>
      <c r="D57" s="425">
        <f t="shared" si="14"/>
        <v>6392.2</v>
      </c>
      <c r="E57" s="425">
        <f t="shared" si="15"/>
        <v>6564.7893999999997</v>
      </c>
      <c r="F57" s="425">
        <f t="shared" si="15"/>
        <v>6742.0387137999987</v>
      </c>
      <c r="G57" s="425">
        <f t="shared" si="15"/>
        <v>6924.0737590725985</v>
      </c>
      <c r="H57" s="425">
        <f t="shared" si="15"/>
        <v>7111.0237505675577</v>
      </c>
    </row>
    <row r="58" spans="1:8" outlineLevel="1">
      <c r="A58" s="316" t="s">
        <v>366</v>
      </c>
      <c r="B58" s="426">
        <v>11357</v>
      </c>
      <c r="C58" s="426">
        <v>0</v>
      </c>
      <c r="D58" s="426">
        <v>0</v>
      </c>
      <c r="E58" s="426">
        <v>0</v>
      </c>
      <c r="F58" s="426">
        <v>0</v>
      </c>
      <c r="G58" s="426">
        <v>0</v>
      </c>
      <c r="H58" s="426">
        <v>0</v>
      </c>
    </row>
    <row r="59" spans="1:8" outlineLevel="1">
      <c r="A59" s="284" t="s">
        <v>367</v>
      </c>
      <c r="B59" s="295"/>
      <c r="C59" s="296"/>
      <c r="D59" s="296"/>
      <c r="E59" s="296"/>
      <c r="F59" s="296"/>
      <c r="G59" s="407"/>
      <c r="H59" s="297"/>
    </row>
    <row r="60" spans="1:8" outlineLevel="1">
      <c r="A60" s="220" t="s">
        <v>368</v>
      </c>
      <c r="B60" s="215">
        <f t="shared" ref="B60:H60" si="16">B52-B56</f>
        <v>2777</v>
      </c>
      <c r="C60" s="215">
        <f t="shared" si="16"/>
        <v>15000</v>
      </c>
      <c r="D60" s="215">
        <f t="shared" si="16"/>
        <v>15465</v>
      </c>
      <c r="E60" s="215">
        <f t="shared" si="16"/>
        <v>15882.555000000051</v>
      </c>
      <c r="F60" s="215">
        <f t="shared" si="16"/>
        <v>16311.38398500008</v>
      </c>
      <c r="G60" s="215">
        <f t="shared" si="16"/>
        <v>16751.791352595086</v>
      </c>
      <c r="H60" s="216">
        <f t="shared" si="16"/>
        <v>17204.089719115174</v>
      </c>
    </row>
    <row r="61" spans="1:8" outlineLevel="1">
      <c r="A61" s="221" t="s">
        <v>369</v>
      </c>
      <c r="B61" s="287">
        <v>-27003</v>
      </c>
      <c r="C61" s="287">
        <v>-15000</v>
      </c>
      <c r="D61" s="287">
        <v>-15000</v>
      </c>
      <c r="E61" s="287">
        <v>-15000</v>
      </c>
      <c r="F61" s="287">
        <v>-15000</v>
      </c>
      <c r="G61" s="287">
        <v>-15000</v>
      </c>
      <c r="H61" s="287">
        <v>-15000</v>
      </c>
    </row>
    <row r="62" spans="1:8" outlineLevel="1">
      <c r="A62" s="221" t="s">
        <v>316</v>
      </c>
      <c r="B62" s="215">
        <f t="shared" ref="B62:H62" si="17">B60+B61</f>
        <v>-24226</v>
      </c>
      <c r="C62" s="215">
        <f t="shared" si="17"/>
        <v>0</v>
      </c>
      <c r="D62" s="215">
        <f t="shared" si="17"/>
        <v>465</v>
      </c>
      <c r="E62" s="215">
        <f t="shared" si="17"/>
        <v>882.55500000005122</v>
      </c>
      <c r="F62" s="215">
        <f t="shared" si="17"/>
        <v>1311.3839850000804</v>
      </c>
      <c r="G62" s="215">
        <f t="shared" si="17"/>
        <v>1751.7913525950862</v>
      </c>
      <c r="H62" s="216">
        <f t="shared" si="17"/>
        <v>2204.0897191151744</v>
      </c>
    </row>
    <row r="63" spans="1:8" outlineLevel="1">
      <c r="A63" s="221" t="s">
        <v>370</v>
      </c>
      <c r="B63" s="287">
        <v>-8412.52</v>
      </c>
      <c r="C63" s="287">
        <v>-4116</v>
      </c>
      <c r="D63" s="287">
        <v>0</v>
      </c>
      <c r="E63" s="287">
        <v>0</v>
      </c>
      <c r="F63" s="287">
        <v>0</v>
      </c>
      <c r="G63" s="287">
        <v>0</v>
      </c>
      <c r="H63" s="288">
        <v>0</v>
      </c>
    </row>
    <row r="64" spans="1:8" ht="25.5" outlineLevel="1">
      <c r="A64" s="236" t="s">
        <v>320</v>
      </c>
      <c r="B64" s="427">
        <v>-2612.65</v>
      </c>
      <c r="C64" s="209">
        <v>5500</v>
      </c>
      <c r="D64" s="209">
        <v>2500</v>
      </c>
      <c r="E64" s="209">
        <v>1500</v>
      </c>
      <c r="F64" s="209">
        <v>500</v>
      </c>
      <c r="G64" s="209">
        <v>0</v>
      </c>
      <c r="H64" s="210">
        <v>0</v>
      </c>
    </row>
    <row r="65" spans="1:8" ht="25.5" outlineLevel="1">
      <c r="A65" s="236" t="s">
        <v>371</v>
      </c>
      <c r="B65" s="427">
        <v>30026</v>
      </c>
      <c r="C65" s="209">
        <v>15000</v>
      </c>
      <c r="D65" s="209">
        <v>17500</v>
      </c>
      <c r="E65" s="209">
        <v>17500</v>
      </c>
      <c r="F65" s="209">
        <v>17500</v>
      </c>
      <c r="G65" s="209">
        <v>17500</v>
      </c>
      <c r="H65" s="209">
        <v>17500</v>
      </c>
    </row>
    <row r="66" spans="1:8" outlineLevel="1">
      <c r="A66" s="300"/>
      <c r="B66" s="239"/>
      <c r="C66" s="239"/>
      <c r="D66" s="239"/>
      <c r="E66" s="239"/>
      <c r="F66" s="239"/>
      <c r="G66" s="369"/>
      <c r="H66" s="240"/>
    </row>
    <row r="67" spans="1:8" ht="25.5" outlineLevel="1">
      <c r="A67" s="236" t="s">
        <v>322</v>
      </c>
      <c r="B67" s="287">
        <v>11717</v>
      </c>
      <c r="C67" s="243">
        <f>B67+C64</f>
        <v>17217</v>
      </c>
      <c r="D67" s="243">
        <f>C67+D64</f>
        <v>19717</v>
      </c>
      <c r="E67" s="243">
        <f>D67+E64</f>
        <v>21217</v>
      </c>
      <c r="F67" s="243">
        <f>E67+F64</f>
        <v>21717</v>
      </c>
      <c r="G67" s="243">
        <f>F67+G64</f>
        <v>21717</v>
      </c>
      <c r="H67" s="244">
        <f>F67+H64</f>
        <v>21717</v>
      </c>
    </row>
    <row r="68" spans="1:8" outlineLevel="1">
      <c r="A68" s="317" t="s">
        <v>323</v>
      </c>
      <c r="B68" s="287">
        <v>4116</v>
      </c>
      <c r="C68" s="209"/>
      <c r="D68" s="209"/>
      <c r="E68" s="209"/>
      <c r="F68" s="209"/>
      <c r="G68" s="367"/>
      <c r="H68" s="210"/>
    </row>
    <row r="69" spans="1:8" outlineLevel="1">
      <c r="A69" s="318" t="s">
        <v>372</v>
      </c>
      <c r="B69" s="315"/>
      <c r="C69" s="303"/>
      <c r="D69" s="303"/>
      <c r="E69" s="303"/>
      <c r="F69" s="303"/>
      <c r="G69" s="371"/>
      <c r="H69" s="249"/>
    </row>
    <row r="70" spans="1:8" outlineLevel="1">
      <c r="A70" s="318" t="s">
        <v>373</v>
      </c>
      <c r="B70" s="301"/>
      <c r="C70" s="209"/>
      <c r="D70" s="303"/>
      <c r="E70" s="303"/>
      <c r="F70" s="303"/>
      <c r="G70" s="371"/>
      <c r="H70" s="249"/>
    </row>
    <row r="71" spans="1:8" outlineLevel="1">
      <c r="A71" s="304" t="s">
        <v>374</v>
      </c>
      <c r="B71" s="305"/>
      <c r="C71" s="219"/>
      <c r="D71" s="306"/>
      <c r="E71" s="306"/>
      <c r="F71" s="306"/>
      <c r="G71" s="408"/>
      <c r="H71" s="307"/>
    </row>
    <row r="72" spans="1:8" outlineLevel="1">
      <c r="A72" s="236" t="s">
        <v>375</v>
      </c>
      <c r="B72" s="206">
        <f t="shared" ref="B72:H72" si="18">IF(B68-B67&lt;0,0,B68-B67)</f>
        <v>0</v>
      </c>
      <c r="C72" s="206">
        <f t="shared" si="18"/>
        <v>0</v>
      </c>
      <c r="D72" s="206">
        <f t="shared" si="18"/>
        <v>0</v>
      </c>
      <c r="E72" s="206">
        <f t="shared" si="18"/>
        <v>0</v>
      </c>
      <c r="F72" s="206">
        <f t="shared" si="18"/>
        <v>0</v>
      </c>
      <c r="G72" s="206">
        <f t="shared" si="18"/>
        <v>0</v>
      </c>
      <c r="H72" s="207">
        <f t="shared" si="18"/>
        <v>0</v>
      </c>
    </row>
    <row r="73" spans="1:8" outlineLevel="1">
      <c r="A73" s="308" t="s">
        <v>281</v>
      </c>
      <c r="B73" s="309">
        <f t="shared" ref="B73:H73" si="19">B72/B52</f>
        <v>0</v>
      </c>
      <c r="C73" s="309">
        <f t="shared" si="19"/>
        <v>0</v>
      </c>
      <c r="D73" s="309">
        <f t="shared" si="19"/>
        <v>0</v>
      </c>
      <c r="E73" s="309">
        <f t="shared" si="19"/>
        <v>0</v>
      </c>
      <c r="F73" s="309">
        <f t="shared" si="19"/>
        <v>0</v>
      </c>
      <c r="G73" s="309">
        <f t="shared" si="19"/>
        <v>0</v>
      </c>
      <c r="H73" s="310">
        <f t="shared" si="19"/>
        <v>0</v>
      </c>
    </row>
    <row r="75" spans="1:8" ht="24.75" customHeight="1">
      <c r="A75" s="416" t="s">
        <v>404</v>
      </c>
      <c r="B75" s="412">
        <v>2011</v>
      </c>
      <c r="C75" s="412">
        <v>2012</v>
      </c>
      <c r="D75" s="412">
        <v>2013</v>
      </c>
      <c r="E75" s="412">
        <v>2014</v>
      </c>
      <c r="F75" s="412">
        <v>2015</v>
      </c>
      <c r="G75" s="413">
        <v>2016</v>
      </c>
      <c r="H75" s="414">
        <v>2017</v>
      </c>
    </row>
    <row r="76" spans="1:8" outlineLevel="1">
      <c r="A76" s="281" t="s">
        <v>360</v>
      </c>
      <c r="B76" s="417">
        <v>234446</v>
      </c>
      <c r="C76" s="417">
        <v>225333</v>
      </c>
      <c r="D76" s="417">
        <v>232092.99000000002</v>
      </c>
      <c r="E76" s="417">
        <v>238359.50073</v>
      </c>
      <c r="F76" s="417">
        <v>244795.20724970999</v>
      </c>
      <c r="G76" s="417">
        <v>251404.67784545213</v>
      </c>
      <c r="H76" s="417">
        <v>258041.76134057206</v>
      </c>
    </row>
    <row r="77" spans="1:8" outlineLevel="1">
      <c r="A77" s="205" t="s">
        <v>361</v>
      </c>
      <c r="B77" s="418">
        <v>134506</v>
      </c>
      <c r="C77" s="418">
        <v>119507</v>
      </c>
      <c r="D77" s="418">
        <v>123092.21</v>
      </c>
      <c r="E77" s="418">
        <v>126415.69967</v>
      </c>
      <c r="F77" s="418">
        <v>129828.92356108999</v>
      </c>
      <c r="G77" s="418">
        <v>133334.30449723941</v>
      </c>
      <c r="H77" s="418">
        <v>136854.33013596653</v>
      </c>
    </row>
    <row r="78" spans="1:8" outlineLevel="1">
      <c r="A78" s="284" t="s">
        <v>362</v>
      </c>
      <c r="B78" s="312"/>
      <c r="C78" s="312"/>
      <c r="D78" s="312"/>
      <c r="E78" s="312"/>
      <c r="F78" s="312"/>
      <c r="G78" s="410"/>
      <c r="H78" s="313"/>
    </row>
    <row r="79" spans="1:8" outlineLevel="1">
      <c r="A79" s="205" t="s">
        <v>363</v>
      </c>
      <c r="B79" s="275">
        <v>300</v>
      </c>
      <c r="C79" s="209">
        <v>5500</v>
      </c>
      <c r="D79" s="209">
        <v>5665</v>
      </c>
      <c r="E79" s="209">
        <v>5817.9549999999999</v>
      </c>
      <c r="F79" s="209">
        <v>5975.039784999999</v>
      </c>
      <c r="G79" s="367">
        <v>6136.3658591949988</v>
      </c>
      <c r="H79" s="210">
        <v>6298.3659178777471</v>
      </c>
    </row>
    <row r="80" spans="1:8" outlineLevel="1">
      <c r="A80" s="213" t="s">
        <v>364</v>
      </c>
      <c r="B80" s="287">
        <v>227084</v>
      </c>
      <c r="C80" s="287">
        <v>225333</v>
      </c>
      <c r="D80" s="287">
        <v>232092.99000000002</v>
      </c>
      <c r="E80" s="287">
        <v>238359.50073</v>
      </c>
      <c r="F80" s="287">
        <v>244795.20724970999</v>
      </c>
      <c r="G80" s="404">
        <v>251404.67784545213</v>
      </c>
      <c r="H80" s="288">
        <v>258041.76134057206</v>
      </c>
    </row>
    <row r="81" spans="1:8" outlineLevel="1">
      <c r="A81" s="316" t="s">
        <v>365</v>
      </c>
      <c r="B81" s="293">
        <v>83</v>
      </c>
      <c r="C81" s="293">
        <v>64</v>
      </c>
      <c r="D81" s="293">
        <v>65.92</v>
      </c>
      <c r="E81" s="293">
        <v>67.699839999999995</v>
      </c>
      <c r="F81" s="293">
        <v>69.527735679999992</v>
      </c>
      <c r="G81" s="406">
        <v>71.404984543359987</v>
      </c>
      <c r="H81" s="294">
        <v>73.290076135304687</v>
      </c>
    </row>
    <row r="82" spans="1:8" outlineLevel="1">
      <c r="A82" s="316" t="s">
        <v>366</v>
      </c>
      <c r="B82" s="293">
        <v>1764</v>
      </c>
      <c r="C82" s="293">
        <v>3500</v>
      </c>
      <c r="D82" s="293">
        <v>3605</v>
      </c>
      <c r="E82" s="293">
        <v>3702.3349999999996</v>
      </c>
      <c r="F82" s="293">
        <v>3802.2980449999991</v>
      </c>
      <c r="G82" s="406">
        <v>3904.9600922149989</v>
      </c>
      <c r="H82" s="294">
        <v>4008.0510386494748</v>
      </c>
    </row>
    <row r="83" spans="1:8" outlineLevel="1">
      <c r="A83" s="284" t="s">
        <v>367</v>
      </c>
      <c r="B83" s="295"/>
      <c r="C83" s="296"/>
      <c r="D83" s="296"/>
      <c r="E83" s="296"/>
      <c r="F83" s="296"/>
      <c r="G83" s="407"/>
      <c r="H83" s="297"/>
    </row>
    <row r="84" spans="1:8" outlineLevel="1">
      <c r="A84" s="220" t="s">
        <v>368</v>
      </c>
      <c r="B84" s="215">
        <f t="shared" ref="B84:H84" si="20">B76-B80</f>
        <v>7362</v>
      </c>
      <c r="C84" s="215">
        <f t="shared" si="20"/>
        <v>0</v>
      </c>
      <c r="D84" s="215">
        <f t="shared" si="20"/>
        <v>0</v>
      </c>
      <c r="E84" s="215">
        <f t="shared" si="20"/>
        <v>0</v>
      </c>
      <c r="F84" s="215">
        <f t="shared" si="20"/>
        <v>0</v>
      </c>
      <c r="G84" s="215">
        <f t="shared" si="20"/>
        <v>0</v>
      </c>
      <c r="H84" s="216">
        <f t="shared" si="20"/>
        <v>0</v>
      </c>
    </row>
    <row r="85" spans="1:8" outlineLevel="1">
      <c r="A85" s="221" t="s">
        <v>369</v>
      </c>
      <c r="B85" s="287">
        <v>44.51</v>
      </c>
      <c r="C85" s="287">
        <v>1000</v>
      </c>
      <c r="D85" s="287"/>
      <c r="E85" s="287"/>
      <c r="F85" s="287"/>
      <c r="G85" s="404"/>
      <c r="H85" s="288"/>
    </row>
    <row r="86" spans="1:8" outlineLevel="1">
      <c r="A86" s="221" t="s">
        <v>316</v>
      </c>
      <c r="B86" s="215">
        <f t="shared" ref="B86:H86" si="21">B84+B85</f>
        <v>7406.51</v>
      </c>
      <c r="C86" s="215">
        <f t="shared" si="21"/>
        <v>1000</v>
      </c>
      <c r="D86" s="215">
        <f t="shared" si="21"/>
        <v>0</v>
      </c>
      <c r="E86" s="215">
        <f t="shared" si="21"/>
        <v>0</v>
      </c>
      <c r="F86" s="215">
        <f t="shared" si="21"/>
        <v>0</v>
      </c>
      <c r="G86" s="215">
        <f t="shared" si="21"/>
        <v>0</v>
      </c>
      <c r="H86" s="216">
        <f t="shared" si="21"/>
        <v>0</v>
      </c>
    </row>
    <row r="87" spans="1:8" outlineLevel="1">
      <c r="A87" s="221" t="s">
        <v>370</v>
      </c>
      <c r="B87" s="287">
        <v>0</v>
      </c>
      <c r="C87" s="287"/>
      <c r="D87" s="287"/>
      <c r="E87" s="287"/>
      <c r="F87" s="287"/>
      <c r="G87" s="404"/>
      <c r="H87" s="288"/>
    </row>
    <row r="88" spans="1:8" ht="25.5" outlineLevel="1">
      <c r="A88" s="236" t="s">
        <v>320</v>
      </c>
      <c r="B88" s="275">
        <v>16833.84</v>
      </c>
      <c r="C88" s="209">
        <v>-14000</v>
      </c>
      <c r="D88" s="209">
        <v>582.1102499999979</v>
      </c>
      <c r="E88" s="209">
        <v>522.71622674999765</v>
      </c>
      <c r="F88" s="209">
        <v>536.82956487224874</v>
      </c>
      <c r="G88" s="367">
        <v>551.32396312379808</v>
      </c>
      <c r="H88" s="210">
        <v>566.20971012814209</v>
      </c>
    </row>
    <row r="89" spans="1:8" ht="25.5" outlineLevel="1">
      <c r="A89" s="236" t="s">
        <v>371</v>
      </c>
      <c r="B89" s="275">
        <v>9427</v>
      </c>
      <c r="C89" s="209">
        <v>-19000</v>
      </c>
      <c r="D89" s="209">
        <v>-19000</v>
      </c>
      <c r="E89" s="209">
        <v>-19000</v>
      </c>
      <c r="F89" s="209">
        <v>-19000</v>
      </c>
      <c r="G89" s="367">
        <v>-19000</v>
      </c>
      <c r="H89" s="210">
        <v>-19000</v>
      </c>
    </row>
    <row r="90" spans="1:8" outlineLevel="1">
      <c r="A90" s="300"/>
      <c r="B90" s="239"/>
      <c r="C90" s="239"/>
      <c r="D90" s="239"/>
      <c r="E90" s="239"/>
      <c r="F90" s="239"/>
      <c r="G90" s="369"/>
      <c r="H90" s="240"/>
    </row>
    <row r="91" spans="1:8" ht="25.5" outlineLevel="1">
      <c r="A91" s="236" t="s">
        <v>322</v>
      </c>
      <c r="B91" s="287">
        <v>46462</v>
      </c>
      <c r="C91" s="243">
        <f>B91+C88</f>
        <v>32462</v>
      </c>
      <c r="D91" s="243">
        <f>C91+D88</f>
        <v>33044.110249999998</v>
      </c>
      <c r="E91" s="243">
        <f>D91+E88</f>
        <v>33566.826476749993</v>
      </c>
      <c r="F91" s="243">
        <f>E91+F88</f>
        <v>34103.656041622242</v>
      </c>
      <c r="G91" s="243">
        <f>F91+G88</f>
        <v>34654.980004746038</v>
      </c>
      <c r="H91" s="244">
        <f>F91+H88</f>
        <v>34669.865751750382</v>
      </c>
    </row>
    <row r="92" spans="1:8" outlineLevel="1">
      <c r="A92" s="317" t="s">
        <v>323</v>
      </c>
      <c r="B92" s="301">
        <v>0</v>
      </c>
      <c r="C92" s="209"/>
      <c r="D92" s="209"/>
      <c r="E92" s="209"/>
      <c r="F92" s="209"/>
      <c r="G92" s="367"/>
      <c r="H92" s="210"/>
    </row>
    <row r="93" spans="1:8" outlineLevel="1">
      <c r="A93" s="318" t="s">
        <v>372</v>
      </c>
      <c r="B93" s="315"/>
      <c r="C93" s="303"/>
      <c r="D93" s="303"/>
      <c r="E93" s="303"/>
      <c r="F93" s="303"/>
      <c r="G93" s="371"/>
      <c r="H93" s="249"/>
    </row>
    <row r="94" spans="1:8" outlineLevel="1">
      <c r="A94" s="318" t="s">
        <v>373</v>
      </c>
      <c r="B94" s="301"/>
      <c r="C94" s="209"/>
      <c r="D94" s="303"/>
      <c r="E94" s="303"/>
      <c r="F94" s="303"/>
      <c r="G94" s="371"/>
      <c r="H94" s="249"/>
    </row>
    <row r="95" spans="1:8" outlineLevel="1">
      <c r="A95" s="304" t="s">
        <v>374</v>
      </c>
      <c r="B95" s="305"/>
      <c r="C95" s="219"/>
      <c r="D95" s="306"/>
      <c r="E95" s="306"/>
      <c r="F95" s="306"/>
      <c r="G95" s="408"/>
      <c r="H95" s="307"/>
    </row>
    <row r="96" spans="1:8" outlineLevel="1">
      <c r="A96" s="236" t="s">
        <v>375</v>
      </c>
      <c r="B96" s="206">
        <f t="shared" ref="B96:H96" si="22">IF(B92-B91&lt;0,0,B92-B91)</f>
        <v>0</v>
      </c>
      <c r="C96" s="206">
        <f t="shared" si="22"/>
        <v>0</v>
      </c>
      <c r="D96" s="206">
        <f t="shared" si="22"/>
        <v>0</v>
      </c>
      <c r="E96" s="206">
        <f t="shared" si="22"/>
        <v>0</v>
      </c>
      <c r="F96" s="206">
        <f t="shared" si="22"/>
        <v>0</v>
      </c>
      <c r="G96" s="206">
        <f t="shared" si="22"/>
        <v>0</v>
      </c>
      <c r="H96" s="207">
        <f t="shared" si="22"/>
        <v>0</v>
      </c>
    </row>
    <row r="97" spans="1:8" outlineLevel="1">
      <c r="A97" s="308" t="s">
        <v>281</v>
      </c>
      <c r="B97" s="309">
        <f t="shared" ref="B97:H97" si="23">B96/B76</f>
        <v>0</v>
      </c>
      <c r="C97" s="309">
        <f t="shared" si="23"/>
        <v>0</v>
      </c>
      <c r="D97" s="309">
        <f t="shared" si="23"/>
        <v>0</v>
      </c>
      <c r="E97" s="309">
        <f t="shared" si="23"/>
        <v>0</v>
      </c>
      <c r="F97" s="309">
        <f t="shared" si="23"/>
        <v>0</v>
      </c>
      <c r="G97" s="309">
        <f t="shared" si="23"/>
        <v>0</v>
      </c>
      <c r="H97" s="310">
        <f t="shared" si="23"/>
        <v>0</v>
      </c>
    </row>
    <row r="99" spans="1:8" ht="26.25" customHeight="1">
      <c r="A99" s="416" t="s">
        <v>405</v>
      </c>
      <c r="B99" s="412">
        <v>2011</v>
      </c>
      <c r="C99" s="412">
        <v>2012</v>
      </c>
      <c r="D99" s="412">
        <v>2013</v>
      </c>
      <c r="E99" s="412">
        <v>2014</v>
      </c>
      <c r="F99" s="412">
        <v>2015</v>
      </c>
      <c r="G99" s="413">
        <v>2016</v>
      </c>
      <c r="H99" s="414">
        <v>2017</v>
      </c>
    </row>
    <row r="100" spans="1:8" outlineLevel="1">
      <c r="A100" s="281" t="s">
        <v>360</v>
      </c>
      <c r="B100" s="282">
        <v>389138</v>
      </c>
      <c r="C100" s="282">
        <v>359861</v>
      </c>
      <c r="D100" s="282">
        <v>346400</v>
      </c>
      <c r="E100" s="282">
        <v>346400</v>
      </c>
      <c r="F100" s="282">
        <v>331400</v>
      </c>
      <c r="G100" s="402">
        <v>331400</v>
      </c>
      <c r="H100" s="283">
        <v>331400</v>
      </c>
    </row>
    <row r="101" spans="1:8" outlineLevel="1">
      <c r="A101" s="205" t="s">
        <v>361</v>
      </c>
      <c r="B101" s="419">
        <v>259397</v>
      </c>
      <c r="C101" s="419">
        <v>257650</v>
      </c>
      <c r="D101" s="419">
        <v>242000</v>
      </c>
      <c r="E101" s="419">
        <v>242000</v>
      </c>
      <c r="F101" s="419">
        <v>231000</v>
      </c>
      <c r="G101" s="433">
        <v>231000</v>
      </c>
      <c r="H101" s="434">
        <v>231000</v>
      </c>
    </row>
    <row r="102" spans="1:8" outlineLevel="1">
      <c r="A102" s="284" t="s">
        <v>362</v>
      </c>
      <c r="B102" s="312"/>
      <c r="C102" s="312"/>
      <c r="D102" s="312"/>
      <c r="E102" s="312"/>
      <c r="F102" s="312"/>
      <c r="G102" s="410"/>
      <c r="H102" s="313"/>
    </row>
    <row r="103" spans="1:8" outlineLevel="1">
      <c r="A103" s="205" t="s">
        <v>363</v>
      </c>
      <c r="B103" s="275">
        <v>305</v>
      </c>
      <c r="C103" s="209">
        <v>750</v>
      </c>
      <c r="D103" s="209">
        <v>750</v>
      </c>
      <c r="E103" s="209">
        <v>800</v>
      </c>
      <c r="F103" s="209">
        <v>800</v>
      </c>
      <c r="G103" s="367">
        <v>800</v>
      </c>
      <c r="H103" s="210">
        <v>800</v>
      </c>
    </row>
    <row r="104" spans="1:8" outlineLevel="1">
      <c r="A104" s="213" t="s">
        <v>364</v>
      </c>
      <c r="B104" s="287">
        <v>397004</v>
      </c>
      <c r="C104" s="287">
        <v>363259</v>
      </c>
      <c r="D104" s="287">
        <v>339800</v>
      </c>
      <c r="E104" s="287">
        <v>339800</v>
      </c>
      <c r="F104" s="287">
        <v>325800</v>
      </c>
      <c r="G104" s="404">
        <v>325800</v>
      </c>
      <c r="H104" s="288">
        <v>325800</v>
      </c>
    </row>
    <row r="105" spans="1:8" outlineLevel="1">
      <c r="A105" s="316" t="s">
        <v>365</v>
      </c>
      <c r="B105" s="293">
        <v>2695</v>
      </c>
      <c r="C105" s="293">
        <v>2500</v>
      </c>
      <c r="D105" s="293">
        <v>2500</v>
      </c>
      <c r="E105" s="293">
        <v>2500</v>
      </c>
      <c r="F105" s="293">
        <v>2500</v>
      </c>
      <c r="G105" s="406">
        <v>2500</v>
      </c>
      <c r="H105" s="294">
        <v>2500</v>
      </c>
    </row>
    <row r="106" spans="1:8" outlineLevel="1">
      <c r="A106" s="316" t="s">
        <v>366</v>
      </c>
      <c r="B106" s="293">
        <v>3852</v>
      </c>
      <c r="C106" s="293">
        <v>2940</v>
      </c>
      <c r="D106" s="293">
        <v>2980</v>
      </c>
      <c r="E106" s="293">
        <v>2980</v>
      </c>
      <c r="F106" s="293">
        <v>2980</v>
      </c>
      <c r="G106" s="406">
        <v>3000</v>
      </c>
      <c r="H106" s="294">
        <v>3000</v>
      </c>
    </row>
    <row r="107" spans="1:8" outlineLevel="1">
      <c r="A107" s="284" t="s">
        <v>367</v>
      </c>
      <c r="B107" s="295"/>
      <c r="C107" s="296"/>
      <c r="D107" s="296"/>
      <c r="E107" s="296"/>
      <c r="F107" s="296"/>
      <c r="G107" s="407"/>
      <c r="H107" s="297"/>
    </row>
    <row r="108" spans="1:8" outlineLevel="1">
      <c r="A108" s="220" t="s">
        <v>368</v>
      </c>
      <c r="B108" s="215">
        <f t="shared" ref="B108:H108" si="24">B100-B104</f>
        <v>-7866</v>
      </c>
      <c r="C108" s="215">
        <f t="shared" si="24"/>
        <v>-3398</v>
      </c>
      <c r="D108" s="215">
        <f t="shared" si="24"/>
        <v>6600</v>
      </c>
      <c r="E108" s="215">
        <f t="shared" si="24"/>
        <v>6600</v>
      </c>
      <c r="F108" s="215">
        <f t="shared" si="24"/>
        <v>5600</v>
      </c>
      <c r="G108" s="215">
        <f t="shared" si="24"/>
        <v>5600</v>
      </c>
      <c r="H108" s="216">
        <f t="shared" si="24"/>
        <v>5600</v>
      </c>
    </row>
    <row r="109" spans="1:8" outlineLevel="1">
      <c r="A109" s="221" t="s">
        <v>369</v>
      </c>
      <c r="B109" s="287">
        <v>-118</v>
      </c>
      <c r="C109" s="287">
        <v>98129</v>
      </c>
      <c r="D109" s="287">
        <v>12400</v>
      </c>
      <c r="E109" s="287">
        <v>11400</v>
      </c>
      <c r="F109" s="287">
        <v>11600</v>
      </c>
      <c r="G109" s="404">
        <v>11800</v>
      </c>
      <c r="H109" s="288">
        <v>12000</v>
      </c>
    </row>
    <row r="110" spans="1:8" outlineLevel="1">
      <c r="A110" s="221" t="s">
        <v>316</v>
      </c>
      <c r="B110" s="215">
        <f t="shared" ref="B110:H110" si="25">B108+B109</f>
        <v>-7984</v>
      </c>
      <c r="C110" s="215">
        <f t="shared" si="25"/>
        <v>94731</v>
      </c>
      <c r="D110" s="215">
        <f t="shared" si="25"/>
        <v>19000</v>
      </c>
      <c r="E110" s="215">
        <f t="shared" si="25"/>
        <v>18000</v>
      </c>
      <c r="F110" s="215">
        <f t="shared" si="25"/>
        <v>17200</v>
      </c>
      <c r="G110" s="215">
        <f t="shared" si="25"/>
        <v>17400</v>
      </c>
      <c r="H110" s="216">
        <f t="shared" si="25"/>
        <v>17600</v>
      </c>
    </row>
    <row r="111" spans="1:8" outlineLevel="1">
      <c r="A111" s="221" t="s">
        <v>370</v>
      </c>
      <c r="B111" s="287">
        <v>-4.79</v>
      </c>
      <c r="C111" s="287">
        <v>0</v>
      </c>
      <c r="D111" s="287"/>
      <c r="E111" s="287"/>
      <c r="F111" s="287"/>
      <c r="G111" s="404"/>
      <c r="H111" s="288"/>
    </row>
    <row r="112" spans="1:8" ht="25.5" outlineLevel="1">
      <c r="A112" s="236" t="s">
        <v>320</v>
      </c>
      <c r="B112" s="275">
        <v>-7177.36</v>
      </c>
      <c r="C112" s="209">
        <v>-18000</v>
      </c>
      <c r="D112" s="209"/>
      <c r="E112" s="209"/>
      <c r="F112" s="209"/>
      <c r="G112" s="367"/>
      <c r="H112" s="210"/>
    </row>
    <row r="113" spans="1:8" ht="25.5" outlineLevel="1">
      <c r="A113" s="236" t="s">
        <v>371</v>
      </c>
      <c r="B113" s="275">
        <v>811</v>
      </c>
      <c r="C113" s="209">
        <v>-108800</v>
      </c>
      <c r="D113" s="209">
        <v>-105000</v>
      </c>
      <c r="E113" s="209">
        <v>-103000</v>
      </c>
      <c r="F113" s="209">
        <v>-93000</v>
      </c>
      <c r="G113" s="367">
        <v>-93000</v>
      </c>
      <c r="H113" s="210">
        <v>-93000</v>
      </c>
    </row>
    <row r="114" spans="1:8" outlineLevel="1">
      <c r="A114" s="300"/>
      <c r="B114" s="239"/>
      <c r="C114" s="239"/>
      <c r="D114" s="239"/>
      <c r="E114" s="239"/>
      <c r="F114" s="239"/>
      <c r="G114" s="369"/>
      <c r="H114" s="240"/>
    </row>
    <row r="115" spans="1:8" ht="25.5" outlineLevel="1">
      <c r="A115" s="236" t="s">
        <v>322</v>
      </c>
      <c r="B115" s="287">
        <v>29109</v>
      </c>
      <c r="C115" s="243">
        <f>B115+C112</f>
        <v>11109</v>
      </c>
      <c r="D115" s="243">
        <f>C115+D112</f>
        <v>11109</v>
      </c>
      <c r="E115" s="243">
        <f>D115+E112</f>
        <v>11109</v>
      </c>
      <c r="F115" s="243">
        <f>E115+F112</f>
        <v>11109</v>
      </c>
      <c r="G115" s="243">
        <f>F115+G112</f>
        <v>11109</v>
      </c>
      <c r="H115" s="244">
        <f>F115+H112</f>
        <v>11109</v>
      </c>
    </row>
    <row r="116" spans="1:8" outlineLevel="1">
      <c r="A116" s="317" t="s">
        <v>323</v>
      </c>
      <c r="B116" s="301">
        <v>0</v>
      </c>
      <c r="C116" s="209"/>
      <c r="D116" s="209"/>
      <c r="E116" s="209"/>
      <c r="F116" s="209"/>
      <c r="G116" s="367"/>
      <c r="H116" s="210"/>
    </row>
    <row r="117" spans="1:8" outlineLevel="1">
      <c r="A117" s="318" t="s">
        <v>372</v>
      </c>
      <c r="B117" s="315"/>
      <c r="C117" s="303"/>
      <c r="D117" s="303"/>
      <c r="E117" s="303"/>
      <c r="F117" s="303"/>
      <c r="G117" s="371"/>
      <c r="H117" s="249"/>
    </row>
    <row r="118" spans="1:8" outlineLevel="1">
      <c r="A118" s="318" t="s">
        <v>373</v>
      </c>
      <c r="B118" s="301"/>
      <c r="C118" s="209"/>
      <c r="D118" s="303"/>
      <c r="E118" s="303"/>
      <c r="F118" s="303"/>
      <c r="G118" s="371"/>
      <c r="H118" s="249"/>
    </row>
    <row r="119" spans="1:8" outlineLevel="1">
      <c r="A119" s="304" t="s">
        <v>374</v>
      </c>
      <c r="B119" s="305"/>
      <c r="C119" s="219"/>
      <c r="D119" s="306"/>
      <c r="E119" s="306"/>
      <c r="F119" s="306"/>
      <c r="G119" s="408"/>
      <c r="H119" s="307"/>
    </row>
    <row r="120" spans="1:8" outlineLevel="1">
      <c r="A120" s="236" t="s">
        <v>375</v>
      </c>
      <c r="B120" s="206">
        <f t="shared" ref="B120:H120" si="26">IF(B116-B115&lt;0,0,B116-B115)</f>
        <v>0</v>
      </c>
      <c r="C120" s="206">
        <f t="shared" si="26"/>
        <v>0</v>
      </c>
      <c r="D120" s="206">
        <f t="shared" si="26"/>
        <v>0</v>
      </c>
      <c r="E120" s="206">
        <f t="shared" si="26"/>
        <v>0</v>
      </c>
      <c r="F120" s="206">
        <f t="shared" si="26"/>
        <v>0</v>
      </c>
      <c r="G120" s="206">
        <f t="shared" si="26"/>
        <v>0</v>
      </c>
      <c r="H120" s="207">
        <f t="shared" si="26"/>
        <v>0</v>
      </c>
    </row>
    <row r="121" spans="1:8" outlineLevel="1">
      <c r="A121" s="308" t="s">
        <v>281</v>
      </c>
      <c r="B121" s="309">
        <f t="shared" ref="B121:H121" si="27">B120/B100</f>
        <v>0</v>
      </c>
      <c r="C121" s="309">
        <f t="shared" si="27"/>
        <v>0</v>
      </c>
      <c r="D121" s="309">
        <f t="shared" si="27"/>
        <v>0</v>
      </c>
      <c r="E121" s="309">
        <f t="shared" si="27"/>
        <v>0</v>
      </c>
      <c r="F121" s="309">
        <f t="shared" si="27"/>
        <v>0</v>
      </c>
      <c r="G121" s="309">
        <f t="shared" si="27"/>
        <v>0</v>
      </c>
      <c r="H121" s="310">
        <f t="shared" si="27"/>
        <v>0</v>
      </c>
    </row>
    <row r="123" spans="1:8" ht="24.75" customHeight="1">
      <c r="A123" s="416" t="s">
        <v>406</v>
      </c>
      <c r="B123" s="412">
        <v>2011</v>
      </c>
      <c r="C123" s="412">
        <v>2012</v>
      </c>
      <c r="D123" s="412">
        <v>2013</v>
      </c>
      <c r="E123" s="412">
        <v>2014</v>
      </c>
      <c r="F123" s="412">
        <v>2015</v>
      </c>
      <c r="G123" s="413">
        <v>2016</v>
      </c>
      <c r="H123" s="414">
        <v>2017</v>
      </c>
    </row>
    <row r="124" spans="1:8" outlineLevel="1">
      <c r="A124" s="281" t="s">
        <v>360</v>
      </c>
      <c r="B124" s="282">
        <v>23784.67</v>
      </c>
      <c r="C124" s="282">
        <v>147052</v>
      </c>
      <c r="D124" s="282">
        <v>151463.56</v>
      </c>
      <c r="E124" s="282">
        <v>155553.07611999998</v>
      </c>
      <c r="F124" s="282">
        <v>159753.00917523997</v>
      </c>
      <c r="G124" s="402">
        <v>164066.34042297144</v>
      </c>
      <c r="H124" s="283">
        <v>168397.69181013788</v>
      </c>
    </row>
    <row r="125" spans="1:8" outlineLevel="1">
      <c r="A125" s="205" t="s">
        <v>361</v>
      </c>
      <c r="B125" s="419">
        <v>22585</v>
      </c>
      <c r="C125" s="419">
        <v>26552</v>
      </c>
      <c r="D125" s="419">
        <v>25000</v>
      </c>
      <c r="E125" s="419">
        <v>24000</v>
      </c>
      <c r="F125" s="419">
        <v>23000</v>
      </c>
      <c r="G125" s="433">
        <v>22000</v>
      </c>
      <c r="H125" s="434">
        <v>21000</v>
      </c>
    </row>
    <row r="126" spans="1:8" outlineLevel="1">
      <c r="A126" s="284" t="s">
        <v>362</v>
      </c>
      <c r="B126" s="312"/>
      <c r="C126" s="312"/>
      <c r="D126" s="312"/>
      <c r="E126" s="312"/>
      <c r="F126" s="312"/>
      <c r="G126" s="410"/>
      <c r="H126" s="313"/>
    </row>
    <row r="127" spans="1:8" outlineLevel="1">
      <c r="A127" s="205" t="s">
        <v>363</v>
      </c>
      <c r="B127" s="275"/>
      <c r="C127" s="209"/>
      <c r="D127" s="209"/>
      <c r="E127" s="209"/>
      <c r="F127" s="209"/>
      <c r="G127" s="367"/>
      <c r="H127" s="210"/>
    </row>
    <row r="128" spans="1:8" outlineLevel="1">
      <c r="A128" s="213" t="s">
        <v>364</v>
      </c>
      <c r="B128" s="287">
        <v>111792.59</v>
      </c>
      <c r="C128" s="287">
        <v>120829</v>
      </c>
      <c r="D128" s="287">
        <v>124453.87000000001</v>
      </c>
      <c r="E128" s="287">
        <v>127814.12449</v>
      </c>
      <c r="F128" s="287">
        <v>131265.10585122998</v>
      </c>
      <c r="G128" s="404">
        <v>134809.26370921318</v>
      </c>
      <c r="H128" s="288">
        <v>138368.22827113641</v>
      </c>
    </row>
    <row r="129" spans="1:8" outlineLevel="1">
      <c r="A129" s="316" t="s">
        <v>365</v>
      </c>
      <c r="B129" s="293">
        <v>0</v>
      </c>
      <c r="C129" s="293">
        <v>85</v>
      </c>
      <c r="D129" s="293">
        <v>87.55</v>
      </c>
      <c r="E129" s="293">
        <v>89.913849999999996</v>
      </c>
      <c r="F129" s="293">
        <v>92.341523949999996</v>
      </c>
      <c r="G129" s="406">
        <v>94.834745096649982</v>
      </c>
      <c r="H129" s="294">
        <v>97.338382367201547</v>
      </c>
    </row>
    <row r="130" spans="1:8" outlineLevel="1">
      <c r="A130" s="316" t="s">
        <v>366</v>
      </c>
      <c r="B130" s="293">
        <v>0</v>
      </c>
      <c r="C130" s="293">
        <v>21000</v>
      </c>
      <c r="D130" s="293">
        <v>21630</v>
      </c>
      <c r="E130" s="293">
        <v>22214.01</v>
      </c>
      <c r="F130" s="293">
        <v>22813.788269999997</v>
      </c>
      <c r="G130" s="406">
        <v>23429.760553289994</v>
      </c>
      <c r="H130" s="294">
        <v>24048.306231896851</v>
      </c>
    </row>
    <row r="131" spans="1:8" outlineLevel="1">
      <c r="A131" s="284" t="s">
        <v>367</v>
      </c>
      <c r="B131" s="295"/>
      <c r="C131" s="296"/>
      <c r="D131" s="296"/>
      <c r="E131" s="296"/>
      <c r="F131" s="296"/>
      <c r="G131" s="407"/>
      <c r="H131" s="297"/>
    </row>
    <row r="132" spans="1:8" outlineLevel="1">
      <c r="A132" s="220" t="s">
        <v>368</v>
      </c>
      <c r="B132" s="215">
        <f t="shared" ref="B132:H132" si="28">B124-B128</f>
        <v>-88007.92</v>
      </c>
      <c r="C132" s="215">
        <f t="shared" si="28"/>
        <v>26223</v>
      </c>
      <c r="D132" s="215">
        <f t="shared" si="28"/>
        <v>27009.689999999988</v>
      </c>
      <c r="E132" s="215">
        <f t="shared" si="28"/>
        <v>27738.951629999981</v>
      </c>
      <c r="F132" s="215">
        <f t="shared" si="28"/>
        <v>28487.903324009996</v>
      </c>
      <c r="G132" s="215">
        <f t="shared" si="28"/>
        <v>29257.076713758259</v>
      </c>
      <c r="H132" s="216">
        <f t="shared" si="28"/>
        <v>30029.463539001474</v>
      </c>
    </row>
    <row r="133" spans="1:8" outlineLevel="1">
      <c r="A133" s="221" t="s">
        <v>369</v>
      </c>
      <c r="B133" s="287">
        <v>175972.79</v>
      </c>
      <c r="C133" s="287">
        <v>500</v>
      </c>
      <c r="D133" s="287">
        <v>500</v>
      </c>
      <c r="E133" s="287">
        <v>500</v>
      </c>
      <c r="F133" s="287">
        <v>500</v>
      </c>
      <c r="G133" s="404">
        <v>500</v>
      </c>
      <c r="H133" s="288">
        <v>500</v>
      </c>
    </row>
    <row r="134" spans="1:8" outlineLevel="1">
      <c r="A134" s="221" t="s">
        <v>316</v>
      </c>
      <c r="B134" s="215">
        <f t="shared" ref="B134:H134" si="29">B132+B133</f>
        <v>87964.87000000001</v>
      </c>
      <c r="C134" s="215">
        <f t="shared" si="29"/>
        <v>26723</v>
      </c>
      <c r="D134" s="215">
        <f t="shared" si="29"/>
        <v>27509.689999999988</v>
      </c>
      <c r="E134" s="215">
        <f t="shared" si="29"/>
        <v>28238.951629999981</v>
      </c>
      <c r="F134" s="215">
        <f t="shared" si="29"/>
        <v>28987.903324009996</v>
      </c>
      <c r="G134" s="215">
        <f t="shared" si="29"/>
        <v>29757.076713758259</v>
      </c>
      <c r="H134" s="216">
        <f t="shared" si="29"/>
        <v>30529.463539001474</v>
      </c>
    </row>
    <row r="135" spans="1:8" outlineLevel="1">
      <c r="A135" s="221" t="s">
        <v>370</v>
      </c>
      <c r="B135" s="287">
        <v>0</v>
      </c>
      <c r="C135" s="287">
        <v>0</v>
      </c>
      <c r="D135" s="287"/>
      <c r="E135" s="287"/>
      <c r="F135" s="287"/>
      <c r="G135" s="404"/>
      <c r="H135" s="288"/>
    </row>
    <row r="136" spans="1:8" ht="25.5" outlineLevel="1">
      <c r="A136" s="236" t="s">
        <v>320</v>
      </c>
      <c r="B136" s="275">
        <v>98196.91</v>
      </c>
      <c r="C136" s="209">
        <v>-126121</v>
      </c>
      <c r="D136" s="209">
        <v>0</v>
      </c>
      <c r="E136" s="209">
        <v>0</v>
      </c>
      <c r="F136" s="209">
        <v>0</v>
      </c>
      <c r="G136" s="367">
        <v>0</v>
      </c>
      <c r="H136" s="210">
        <v>0</v>
      </c>
    </row>
    <row r="137" spans="1:8" ht="25.5" outlineLevel="1">
      <c r="A137" s="236" t="s">
        <v>371</v>
      </c>
      <c r="B137" s="275">
        <v>10232</v>
      </c>
      <c r="C137" s="209">
        <v>174400</v>
      </c>
      <c r="D137" s="209">
        <v>2535.9130000000005</v>
      </c>
      <c r="E137" s="209">
        <v>4265.8826509999926</v>
      </c>
      <c r="F137" s="209">
        <v>6015.5614825770026</v>
      </c>
      <c r="G137" s="367">
        <v>7785.4816426065809</v>
      </c>
      <c r="H137" s="210">
        <v>9576.1896469569474</v>
      </c>
    </row>
    <row r="138" spans="1:8" outlineLevel="1">
      <c r="A138" s="300"/>
      <c r="B138" s="239"/>
      <c r="C138" s="239"/>
      <c r="D138" s="239"/>
      <c r="E138" s="239"/>
      <c r="F138" s="239"/>
      <c r="G138" s="369"/>
      <c r="H138" s="240"/>
    </row>
    <row r="139" spans="1:8" ht="25.5" outlineLevel="1">
      <c r="A139" s="236" t="s">
        <v>322</v>
      </c>
      <c r="B139" s="287">
        <v>156894</v>
      </c>
      <c r="C139" s="243">
        <f>B139+C136</f>
        <v>30773</v>
      </c>
      <c r="D139" s="243">
        <f>C139+D136</f>
        <v>30773</v>
      </c>
      <c r="E139" s="243">
        <f>D139+E136</f>
        <v>30773</v>
      </c>
      <c r="F139" s="243">
        <f>E139+F136</f>
        <v>30773</v>
      </c>
      <c r="G139" s="243">
        <f>F139+G136</f>
        <v>30773</v>
      </c>
      <c r="H139" s="244">
        <f>F139+H136</f>
        <v>30773</v>
      </c>
    </row>
    <row r="140" spans="1:8" outlineLevel="1">
      <c r="A140" s="317" t="s">
        <v>323</v>
      </c>
      <c r="B140" s="301">
        <v>0</v>
      </c>
      <c r="C140" s="209"/>
      <c r="D140" s="209"/>
      <c r="E140" s="209"/>
      <c r="F140" s="209"/>
      <c r="G140" s="367"/>
      <c r="H140" s="210"/>
    </row>
    <row r="141" spans="1:8" outlineLevel="1">
      <c r="A141" s="318" t="s">
        <v>372</v>
      </c>
      <c r="B141" s="315"/>
      <c r="C141" s="303"/>
      <c r="D141" s="303"/>
      <c r="E141" s="303"/>
      <c r="F141" s="303"/>
      <c r="G141" s="371"/>
      <c r="H141" s="249"/>
    </row>
    <row r="142" spans="1:8" outlineLevel="1">
      <c r="A142" s="318" t="s">
        <v>373</v>
      </c>
      <c r="B142" s="301"/>
      <c r="C142" s="209"/>
      <c r="D142" s="303"/>
      <c r="E142" s="303"/>
      <c r="F142" s="303"/>
      <c r="G142" s="371"/>
      <c r="H142" s="249"/>
    </row>
    <row r="143" spans="1:8" outlineLevel="1">
      <c r="A143" s="304" t="s">
        <v>374</v>
      </c>
      <c r="B143" s="305"/>
      <c r="C143" s="219"/>
      <c r="D143" s="306"/>
      <c r="E143" s="306"/>
      <c r="F143" s="306"/>
      <c r="G143" s="408"/>
      <c r="H143" s="307"/>
    </row>
    <row r="144" spans="1:8" outlineLevel="1">
      <c r="A144" s="236" t="s">
        <v>375</v>
      </c>
      <c r="B144" s="206">
        <f t="shared" ref="B144:H144" si="30">IF(B140-B139&lt;0,0,B140-B139)</f>
        <v>0</v>
      </c>
      <c r="C144" s="206">
        <f t="shared" si="30"/>
        <v>0</v>
      </c>
      <c r="D144" s="206">
        <f t="shared" si="30"/>
        <v>0</v>
      </c>
      <c r="E144" s="206">
        <f t="shared" si="30"/>
        <v>0</v>
      </c>
      <c r="F144" s="206">
        <f t="shared" si="30"/>
        <v>0</v>
      </c>
      <c r="G144" s="206">
        <f t="shared" si="30"/>
        <v>0</v>
      </c>
      <c r="H144" s="207">
        <f t="shared" si="30"/>
        <v>0</v>
      </c>
    </row>
    <row r="145" spans="1:8" outlineLevel="1">
      <c r="A145" s="308" t="s">
        <v>281</v>
      </c>
      <c r="B145" s="309">
        <f t="shared" ref="B145:H145" si="31">B144/B124</f>
        <v>0</v>
      </c>
      <c r="C145" s="309">
        <f t="shared" si="31"/>
        <v>0</v>
      </c>
      <c r="D145" s="309">
        <f t="shared" si="31"/>
        <v>0</v>
      </c>
      <c r="E145" s="309">
        <f t="shared" si="31"/>
        <v>0</v>
      </c>
      <c r="F145" s="309">
        <f t="shared" si="31"/>
        <v>0</v>
      </c>
      <c r="G145" s="309">
        <f t="shared" si="31"/>
        <v>0</v>
      </c>
      <c r="H145" s="310">
        <f t="shared" si="31"/>
        <v>0</v>
      </c>
    </row>
    <row r="147" spans="1:8" ht="26.25" customHeight="1">
      <c r="A147" s="416" t="s">
        <v>407</v>
      </c>
      <c r="B147" s="412">
        <v>2011</v>
      </c>
      <c r="C147" s="412">
        <v>2012</v>
      </c>
      <c r="D147" s="412">
        <v>2013</v>
      </c>
      <c r="E147" s="412">
        <v>2014</v>
      </c>
      <c r="F147" s="412">
        <v>2015</v>
      </c>
      <c r="G147" s="413">
        <v>2016</v>
      </c>
      <c r="H147" s="414">
        <v>2017</v>
      </c>
    </row>
    <row r="148" spans="1:8" outlineLevel="1">
      <c r="A148" s="281" t="s">
        <v>360</v>
      </c>
      <c r="B148" s="282">
        <v>948107.88</v>
      </c>
      <c r="C148" s="282">
        <v>831000</v>
      </c>
      <c r="D148" s="282">
        <v>921000</v>
      </c>
      <c r="E148" s="282">
        <v>940000</v>
      </c>
      <c r="F148" s="282">
        <v>965000</v>
      </c>
      <c r="G148" s="402">
        <v>990000</v>
      </c>
      <c r="H148" s="283">
        <v>1000500</v>
      </c>
    </row>
    <row r="149" spans="1:8" outlineLevel="1">
      <c r="A149" s="205" t="s">
        <v>361</v>
      </c>
      <c r="B149" s="419">
        <v>305459</v>
      </c>
      <c r="C149" s="419">
        <v>305000</v>
      </c>
      <c r="D149" s="419">
        <v>314455</v>
      </c>
      <c r="E149" s="419">
        <v>322945.28499999997</v>
      </c>
      <c r="F149" s="419">
        <v>331664.80769499997</v>
      </c>
      <c r="G149" s="433">
        <v>340619.75750276493</v>
      </c>
      <c r="H149" s="434">
        <v>349816.49095533957</v>
      </c>
    </row>
    <row r="150" spans="1:8" outlineLevel="1">
      <c r="A150" s="284" t="s">
        <v>362</v>
      </c>
      <c r="B150" s="312"/>
      <c r="C150" s="312"/>
      <c r="D150" s="312"/>
      <c r="E150" s="312"/>
      <c r="F150" s="312"/>
      <c r="G150" s="410"/>
      <c r="H150" s="313"/>
    </row>
    <row r="151" spans="1:8" outlineLevel="1">
      <c r="A151" s="205" t="s">
        <v>363</v>
      </c>
      <c r="B151" s="275"/>
      <c r="C151" s="209"/>
      <c r="D151" s="209"/>
      <c r="E151" s="209"/>
      <c r="F151" s="209"/>
      <c r="G151" s="367"/>
      <c r="H151" s="210"/>
    </row>
    <row r="152" spans="1:8" outlineLevel="1">
      <c r="A152" s="213" t="s">
        <v>364</v>
      </c>
      <c r="B152" s="287">
        <v>978239.46</v>
      </c>
      <c r="C152" s="287">
        <v>947000</v>
      </c>
      <c r="D152" s="287">
        <v>965000</v>
      </c>
      <c r="E152" s="287">
        <v>980000</v>
      </c>
      <c r="F152" s="287">
        <v>990000</v>
      </c>
      <c r="G152" s="404">
        <v>1005000</v>
      </c>
      <c r="H152" s="288">
        <v>1010000</v>
      </c>
    </row>
    <row r="153" spans="1:8" outlineLevel="1">
      <c r="A153" s="316" t="s">
        <v>365</v>
      </c>
      <c r="B153" s="293">
        <v>5112</v>
      </c>
      <c r="C153" s="293">
        <v>5500</v>
      </c>
      <c r="D153" s="293">
        <v>5670.4999999999991</v>
      </c>
      <c r="E153" s="293">
        <v>5823.6034999999983</v>
      </c>
      <c r="F153" s="293">
        <v>5980.8407944999981</v>
      </c>
      <c r="G153" s="406">
        <v>6142.3234959514975</v>
      </c>
      <c r="H153" s="294">
        <v>6308.1662303421872</v>
      </c>
    </row>
    <row r="154" spans="1:8" outlineLevel="1">
      <c r="A154" s="316" t="s">
        <v>366</v>
      </c>
      <c r="B154" s="293">
        <v>1727</v>
      </c>
      <c r="C154" s="293">
        <v>1900</v>
      </c>
      <c r="D154" s="293">
        <v>1958.8999999999999</v>
      </c>
      <c r="E154" s="293">
        <v>2011.7902999999997</v>
      </c>
      <c r="F154" s="293">
        <v>2066.1086380999996</v>
      </c>
      <c r="G154" s="406">
        <v>2121.8935713286992</v>
      </c>
      <c r="H154" s="294">
        <v>2179.1846977545738</v>
      </c>
    </row>
    <row r="155" spans="1:8" outlineLevel="1">
      <c r="A155" s="284" t="s">
        <v>367</v>
      </c>
      <c r="B155" s="295"/>
      <c r="C155" s="296"/>
      <c r="D155" s="296"/>
      <c r="E155" s="296"/>
      <c r="F155" s="296"/>
      <c r="G155" s="407"/>
      <c r="H155" s="297"/>
    </row>
    <row r="156" spans="1:8" outlineLevel="1">
      <c r="A156" s="220" t="s">
        <v>368</v>
      </c>
      <c r="B156" s="215">
        <f t="shared" ref="B156:H156" si="32">B148-B152</f>
        <v>-30131.579999999958</v>
      </c>
      <c r="C156" s="215">
        <f t="shared" si="32"/>
        <v>-116000</v>
      </c>
      <c r="D156" s="215">
        <f t="shared" si="32"/>
        <v>-44000</v>
      </c>
      <c r="E156" s="215">
        <f t="shared" si="32"/>
        <v>-40000</v>
      </c>
      <c r="F156" s="215">
        <f t="shared" si="32"/>
        <v>-25000</v>
      </c>
      <c r="G156" s="215">
        <f t="shared" si="32"/>
        <v>-15000</v>
      </c>
      <c r="H156" s="216">
        <f t="shared" si="32"/>
        <v>-9500</v>
      </c>
    </row>
    <row r="157" spans="1:8" outlineLevel="1">
      <c r="A157" s="221" t="s">
        <v>369</v>
      </c>
      <c r="B157" s="287">
        <v>2228.6</v>
      </c>
      <c r="C157" s="287">
        <v>1000</v>
      </c>
      <c r="D157" s="287">
        <v>500</v>
      </c>
      <c r="E157" s="287">
        <v>200</v>
      </c>
      <c r="F157" s="287">
        <v>100</v>
      </c>
      <c r="G157" s="404">
        <v>50</v>
      </c>
      <c r="H157" s="288">
        <v>50</v>
      </c>
    </row>
    <row r="158" spans="1:8" outlineLevel="1">
      <c r="A158" s="221" t="s">
        <v>316</v>
      </c>
      <c r="B158" s="215">
        <f t="shared" ref="B158:H158" si="33">B156+B157</f>
        <v>-27902.97999999996</v>
      </c>
      <c r="C158" s="215">
        <f t="shared" si="33"/>
        <v>-115000</v>
      </c>
      <c r="D158" s="215">
        <f t="shared" si="33"/>
        <v>-43500</v>
      </c>
      <c r="E158" s="215">
        <f t="shared" si="33"/>
        <v>-39800</v>
      </c>
      <c r="F158" s="215">
        <f t="shared" si="33"/>
        <v>-24900</v>
      </c>
      <c r="G158" s="215">
        <f t="shared" si="33"/>
        <v>-14950</v>
      </c>
      <c r="H158" s="216">
        <f t="shared" si="33"/>
        <v>-9450</v>
      </c>
    </row>
    <row r="159" spans="1:8" outlineLevel="1">
      <c r="A159" s="221" t="s">
        <v>370</v>
      </c>
      <c r="B159" s="287">
        <v>0</v>
      </c>
      <c r="C159" s="287"/>
      <c r="D159" s="287"/>
      <c r="E159" s="287"/>
      <c r="F159" s="287"/>
      <c r="G159" s="404"/>
      <c r="H159" s="288"/>
    </row>
    <row r="160" spans="1:8" ht="25.5" outlineLevel="1">
      <c r="A160" s="236" t="s">
        <v>320</v>
      </c>
      <c r="B160" s="275">
        <v>44891.59</v>
      </c>
      <c r="C160" s="209">
        <v>-114400</v>
      </c>
      <c r="D160" s="209">
        <v>-43500</v>
      </c>
      <c r="E160" s="209">
        <v>-39800</v>
      </c>
      <c r="F160" s="209">
        <v>-24900</v>
      </c>
      <c r="G160" s="367">
        <v>-14950</v>
      </c>
      <c r="H160" s="210">
        <v>-9450</v>
      </c>
    </row>
    <row r="161" spans="1:8" ht="25.5" outlineLevel="1">
      <c r="A161" s="236" t="s">
        <v>371</v>
      </c>
      <c r="B161" s="275">
        <v>72795</v>
      </c>
      <c r="C161" s="209"/>
      <c r="D161" s="209"/>
      <c r="E161" s="209"/>
      <c r="F161" s="209"/>
      <c r="G161" s="367"/>
      <c r="H161" s="210"/>
    </row>
    <row r="162" spans="1:8" outlineLevel="1">
      <c r="A162" s="300"/>
      <c r="B162" s="239"/>
      <c r="C162" s="239"/>
      <c r="D162" s="239"/>
      <c r="E162" s="239"/>
      <c r="F162" s="239"/>
      <c r="G162" s="369"/>
      <c r="H162" s="240"/>
    </row>
    <row r="163" spans="1:8" ht="25.5" outlineLevel="1">
      <c r="A163" s="236" t="s">
        <v>322</v>
      </c>
      <c r="B163" s="287">
        <v>265210</v>
      </c>
      <c r="C163" s="243">
        <f>B163+C160</f>
        <v>150810</v>
      </c>
      <c r="D163" s="243">
        <f>C163+D160</f>
        <v>107310</v>
      </c>
      <c r="E163" s="243">
        <f>D163+E160</f>
        <v>67510</v>
      </c>
      <c r="F163" s="243">
        <f>E163+F160</f>
        <v>42610</v>
      </c>
      <c r="G163" s="243">
        <f>F163+G160</f>
        <v>27660</v>
      </c>
      <c r="H163" s="244">
        <f>F163+H160</f>
        <v>33160</v>
      </c>
    </row>
    <row r="164" spans="1:8" outlineLevel="1">
      <c r="A164" s="317" t="s">
        <v>323</v>
      </c>
      <c r="B164" s="301">
        <v>0</v>
      </c>
      <c r="C164" s="209"/>
      <c r="D164" s="209"/>
      <c r="E164" s="209"/>
      <c r="F164" s="209"/>
      <c r="G164" s="367"/>
      <c r="H164" s="210"/>
    </row>
    <row r="165" spans="1:8" outlineLevel="1">
      <c r="A165" s="318" t="s">
        <v>372</v>
      </c>
      <c r="B165" s="315"/>
      <c r="C165" s="303"/>
      <c r="D165" s="303"/>
      <c r="E165" s="303"/>
      <c r="F165" s="303"/>
      <c r="G165" s="371"/>
      <c r="H165" s="249"/>
    </row>
    <row r="166" spans="1:8" outlineLevel="1">
      <c r="A166" s="318" t="s">
        <v>373</v>
      </c>
      <c r="B166" s="301"/>
      <c r="C166" s="209"/>
      <c r="D166" s="303"/>
      <c r="E166" s="303"/>
      <c r="F166" s="303"/>
      <c r="G166" s="371"/>
      <c r="H166" s="249"/>
    </row>
    <row r="167" spans="1:8" outlineLevel="1">
      <c r="A167" s="304" t="s">
        <v>374</v>
      </c>
      <c r="B167" s="305"/>
      <c r="C167" s="219"/>
      <c r="D167" s="306"/>
      <c r="E167" s="306"/>
      <c r="F167" s="306"/>
      <c r="G167" s="408"/>
      <c r="H167" s="307"/>
    </row>
    <row r="168" spans="1:8" outlineLevel="1">
      <c r="A168" s="236" t="s">
        <v>375</v>
      </c>
      <c r="B168" s="206">
        <f t="shared" ref="B168:H168" si="34">IF(B164-B163&lt;0,0,B164-B163)</f>
        <v>0</v>
      </c>
      <c r="C168" s="206">
        <f t="shared" si="34"/>
        <v>0</v>
      </c>
      <c r="D168" s="206">
        <f t="shared" si="34"/>
        <v>0</v>
      </c>
      <c r="E168" s="206">
        <f t="shared" si="34"/>
        <v>0</v>
      </c>
      <c r="F168" s="206">
        <f t="shared" si="34"/>
        <v>0</v>
      </c>
      <c r="G168" s="206">
        <f t="shared" si="34"/>
        <v>0</v>
      </c>
      <c r="H168" s="207">
        <f t="shared" si="34"/>
        <v>0</v>
      </c>
    </row>
    <row r="169" spans="1:8" outlineLevel="1">
      <c r="A169" s="308" t="s">
        <v>281</v>
      </c>
      <c r="B169" s="309">
        <f t="shared" ref="B169:H169" si="35">B168/B148</f>
        <v>0</v>
      </c>
      <c r="C169" s="309">
        <f t="shared" si="35"/>
        <v>0</v>
      </c>
      <c r="D169" s="309">
        <f t="shared" si="35"/>
        <v>0</v>
      </c>
      <c r="E169" s="309">
        <f t="shared" si="35"/>
        <v>0</v>
      </c>
      <c r="F169" s="309">
        <f t="shared" si="35"/>
        <v>0</v>
      </c>
      <c r="G169" s="309">
        <f t="shared" si="35"/>
        <v>0</v>
      </c>
      <c r="H169" s="310">
        <f t="shared" si="35"/>
        <v>0</v>
      </c>
    </row>
    <row r="171" spans="1:8" ht="24.75" customHeight="1">
      <c r="A171" s="416" t="s">
        <v>408</v>
      </c>
      <c r="B171" s="412">
        <v>2011</v>
      </c>
      <c r="C171" s="412">
        <v>2012</v>
      </c>
      <c r="D171" s="412">
        <v>2013</v>
      </c>
      <c r="E171" s="412">
        <v>2014</v>
      </c>
      <c r="F171" s="412">
        <v>2015</v>
      </c>
      <c r="G171" s="413">
        <v>2016</v>
      </c>
      <c r="H171" s="414">
        <v>2017</v>
      </c>
    </row>
    <row r="172" spans="1:8" outlineLevel="1">
      <c r="A172" s="281" t="s">
        <v>360</v>
      </c>
      <c r="B172" s="282">
        <v>199919.66</v>
      </c>
      <c r="C172" s="282">
        <v>202000</v>
      </c>
      <c r="D172" s="282">
        <v>203000</v>
      </c>
      <c r="E172" s="282">
        <v>204000</v>
      </c>
      <c r="F172" s="282">
        <v>205000</v>
      </c>
      <c r="G172" s="402">
        <v>206000</v>
      </c>
      <c r="H172" s="283">
        <v>207000</v>
      </c>
    </row>
    <row r="173" spans="1:8" outlineLevel="1">
      <c r="A173" s="205" t="s">
        <v>361</v>
      </c>
      <c r="B173" s="419">
        <v>47804.42</v>
      </c>
      <c r="C173" s="419">
        <v>47797</v>
      </c>
      <c r="D173" s="419">
        <v>47797</v>
      </c>
      <c r="E173" s="419">
        <v>47797</v>
      </c>
      <c r="F173" s="419">
        <v>47797</v>
      </c>
      <c r="G173" s="433">
        <v>47797</v>
      </c>
      <c r="H173" s="434">
        <v>47797</v>
      </c>
    </row>
    <row r="174" spans="1:8" outlineLevel="1">
      <c r="A174" s="284" t="s">
        <v>362</v>
      </c>
      <c r="B174" s="312"/>
      <c r="C174" s="312"/>
      <c r="D174" s="312"/>
      <c r="E174" s="312"/>
      <c r="F174" s="312"/>
      <c r="G174" s="410"/>
      <c r="H174" s="313"/>
    </row>
    <row r="175" spans="1:8" outlineLevel="1">
      <c r="A175" s="205" t="s">
        <v>363</v>
      </c>
      <c r="B175" s="275">
        <v>0</v>
      </c>
      <c r="C175" s="209">
        <v>154203</v>
      </c>
      <c r="D175" s="209">
        <v>155203</v>
      </c>
      <c r="E175" s="209">
        <v>156203</v>
      </c>
      <c r="F175" s="209">
        <v>157203</v>
      </c>
      <c r="G175" s="367">
        <v>158203</v>
      </c>
      <c r="H175" s="210">
        <v>159203</v>
      </c>
    </row>
    <row r="176" spans="1:8" outlineLevel="1">
      <c r="A176" s="213" t="s">
        <v>364</v>
      </c>
      <c r="B176" s="287">
        <v>186514.44</v>
      </c>
      <c r="C176" s="287">
        <v>202000</v>
      </c>
      <c r="D176" s="287">
        <v>203000</v>
      </c>
      <c r="E176" s="287">
        <v>204000</v>
      </c>
      <c r="F176" s="287">
        <v>205000</v>
      </c>
      <c r="G176" s="404">
        <v>206000</v>
      </c>
      <c r="H176" s="288">
        <v>207000</v>
      </c>
    </row>
    <row r="177" spans="1:8" outlineLevel="1">
      <c r="A177" s="316" t="s">
        <v>365</v>
      </c>
      <c r="B177" s="293">
        <v>63.35</v>
      </c>
      <c r="C177" s="293">
        <v>1683</v>
      </c>
      <c r="D177" s="293">
        <v>0</v>
      </c>
      <c r="E177" s="293">
        <v>0</v>
      </c>
      <c r="F177" s="293">
        <v>0</v>
      </c>
      <c r="G177" s="406">
        <v>0</v>
      </c>
      <c r="H177" s="294">
        <v>0</v>
      </c>
    </row>
    <row r="178" spans="1:8" outlineLevel="1">
      <c r="A178" s="316" t="s">
        <v>366</v>
      </c>
      <c r="B178" s="293">
        <v>23332.52</v>
      </c>
      <c r="C178" s="293">
        <v>200317</v>
      </c>
      <c r="D178" s="293">
        <v>203000</v>
      </c>
      <c r="E178" s="293">
        <v>204000</v>
      </c>
      <c r="F178" s="293">
        <v>205000</v>
      </c>
      <c r="G178" s="406">
        <v>206000</v>
      </c>
      <c r="H178" s="294">
        <v>270000</v>
      </c>
    </row>
    <row r="179" spans="1:8" outlineLevel="1">
      <c r="A179" s="284" t="s">
        <v>367</v>
      </c>
      <c r="B179" s="295"/>
      <c r="C179" s="296"/>
      <c r="D179" s="296"/>
      <c r="E179" s="296"/>
      <c r="F179" s="296"/>
      <c r="G179" s="407"/>
      <c r="H179" s="297"/>
    </row>
    <row r="180" spans="1:8" outlineLevel="1">
      <c r="A180" s="220" t="s">
        <v>368</v>
      </c>
      <c r="B180" s="215">
        <f t="shared" ref="B180:H180" si="36">B172-B176</f>
        <v>13405.220000000001</v>
      </c>
      <c r="C180" s="215">
        <f t="shared" si="36"/>
        <v>0</v>
      </c>
      <c r="D180" s="215">
        <f t="shared" si="36"/>
        <v>0</v>
      </c>
      <c r="E180" s="215">
        <f t="shared" si="36"/>
        <v>0</v>
      </c>
      <c r="F180" s="215">
        <f t="shared" si="36"/>
        <v>0</v>
      </c>
      <c r="G180" s="215">
        <f t="shared" si="36"/>
        <v>0</v>
      </c>
      <c r="H180" s="216">
        <f t="shared" si="36"/>
        <v>0</v>
      </c>
    </row>
    <row r="181" spans="1:8" outlineLevel="1">
      <c r="A181" s="221" t="s">
        <v>369</v>
      </c>
      <c r="B181" s="287">
        <v>-87</v>
      </c>
      <c r="C181" s="287"/>
      <c r="D181" s="287"/>
      <c r="E181" s="287"/>
      <c r="F181" s="287"/>
      <c r="G181" s="404"/>
      <c r="H181" s="288"/>
    </row>
    <row r="182" spans="1:8" outlineLevel="1">
      <c r="A182" s="221" t="s">
        <v>316</v>
      </c>
      <c r="B182" s="215">
        <f t="shared" ref="B182:H182" si="37">B180+B181</f>
        <v>13318.220000000001</v>
      </c>
      <c r="C182" s="215">
        <f t="shared" si="37"/>
        <v>0</v>
      </c>
      <c r="D182" s="215">
        <f t="shared" si="37"/>
        <v>0</v>
      </c>
      <c r="E182" s="215">
        <f t="shared" si="37"/>
        <v>0</v>
      </c>
      <c r="F182" s="215">
        <f t="shared" si="37"/>
        <v>0</v>
      </c>
      <c r="G182" s="215">
        <f t="shared" si="37"/>
        <v>0</v>
      </c>
      <c r="H182" s="216">
        <f t="shared" si="37"/>
        <v>0</v>
      </c>
    </row>
    <row r="183" spans="1:8" outlineLevel="1">
      <c r="A183" s="221" t="s">
        <v>370</v>
      </c>
      <c r="B183" s="287">
        <v>-11311.8</v>
      </c>
      <c r="C183" s="287">
        <v>-1682.97</v>
      </c>
      <c r="D183" s="287"/>
      <c r="E183" s="287"/>
      <c r="F183" s="287"/>
      <c r="G183" s="404"/>
      <c r="H183" s="288"/>
    </row>
    <row r="184" spans="1:8" ht="25.5" outlineLevel="1">
      <c r="A184" s="236" t="s">
        <v>320</v>
      </c>
      <c r="B184" s="275">
        <v>-1363.75</v>
      </c>
      <c r="C184" s="209"/>
      <c r="D184" s="209"/>
      <c r="E184" s="209"/>
      <c r="F184" s="209"/>
      <c r="G184" s="367"/>
      <c r="H184" s="210"/>
    </row>
    <row r="185" spans="1:8" ht="25.5" outlineLevel="1">
      <c r="A185" s="236" t="s">
        <v>371</v>
      </c>
      <c r="B185" s="275">
        <v>-3370</v>
      </c>
      <c r="C185" s="209">
        <v>1682.97</v>
      </c>
      <c r="D185" s="209"/>
      <c r="E185" s="209"/>
      <c r="F185" s="209"/>
      <c r="G185" s="367"/>
      <c r="H185" s="210"/>
    </row>
    <row r="186" spans="1:8" outlineLevel="1">
      <c r="A186" s="300"/>
      <c r="B186" s="239"/>
      <c r="C186" s="239"/>
      <c r="D186" s="239"/>
      <c r="E186" s="239"/>
      <c r="F186" s="239"/>
      <c r="G186" s="369"/>
      <c r="H186" s="240"/>
    </row>
    <row r="187" spans="1:8" ht="25.5" outlineLevel="1">
      <c r="A187" s="236" t="s">
        <v>322</v>
      </c>
      <c r="B187" s="287">
        <v>21107</v>
      </c>
      <c r="C187" s="243">
        <f>B187+C184</f>
        <v>21107</v>
      </c>
      <c r="D187" s="243">
        <f>C187+D184</f>
        <v>21107</v>
      </c>
      <c r="E187" s="243">
        <f>D187+E184</f>
        <v>21107</v>
      </c>
      <c r="F187" s="243">
        <f>E187+F184</f>
        <v>21107</v>
      </c>
      <c r="G187" s="243">
        <f t="shared" ref="G187:H187" si="38">F187+G184</f>
        <v>21107</v>
      </c>
      <c r="H187" s="243">
        <f t="shared" si="38"/>
        <v>21107</v>
      </c>
    </row>
    <row r="188" spans="1:8" outlineLevel="1">
      <c r="A188" s="317" t="s">
        <v>323</v>
      </c>
      <c r="B188" s="301">
        <v>1683</v>
      </c>
      <c r="C188" s="209"/>
      <c r="D188" s="209"/>
      <c r="E188" s="209"/>
      <c r="F188" s="209"/>
      <c r="G188" s="367"/>
      <c r="H188" s="210"/>
    </row>
    <row r="189" spans="1:8" outlineLevel="1">
      <c r="A189" s="318" t="s">
        <v>372</v>
      </c>
      <c r="B189" s="315"/>
      <c r="C189" s="303"/>
      <c r="D189" s="303"/>
      <c r="E189" s="303"/>
      <c r="F189" s="303"/>
      <c r="G189" s="371"/>
      <c r="H189" s="249"/>
    </row>
    <row r="190" spans="1:8" outlineLevel="1">
      <c r="A190" s="318" t="s">
        <v>373</v>
      </c>
      <c r="B190" s="301"/>
      <c r="C190" s="209"/>
      <c r="D190" s="303"/>
      <c r="E190" s="303"/>
      <c r="F190" s="303"/>
      <c r="G190" s="371"/>
      <c r="H190" s="249"/>
    </row>
    <row r="191" spans="1:8" outlineLevel="1">
      <c r="A191" s="304" t="s">
        <v>374</v>
      </c>
      <c r="B191" s="305"/>
      <c r="C191" s="219"/>
      <c r="D191" s="306"/>
      <c r="E191" s="306"/>
      <c r="F191" s="306"/>
      <c r="G191" s="408"/>
      <c r="H191" s="307"/>
    </row>
    <row r="192" spans="1:8" outlineLevel="1">
      <c r="A192" s="236" t="s">
        <v>375</v>
      </c>
      <c r="B192" s="206">
        <f t="shared" ref="B192:H192" si="39">IF(B188-B187&lt;0,0,B188-B187)</f>
        <v>0</v>
      </c>
      <c r="C192" s="206">
        <f t="shared" si="39"/>
        <v>0</v>
      </c>
      <c r="D192" s="206">
        <f t="shared" si="39"/>
        <v>0</v>
      </c>
      <c r="E192" s="206">
        <f t="shared" si="39"/>
        <v>0</v>
      </c>
      <c r="F192" s="206">
        <f t="shared" si="39"/>
        <v>0</v>
      </c>
      <c r="G192" s="206">
        <f t="shared" si="39"/>
        <v>0</v>
      </c>
      <c r="H192" s="207">
        <f t="shared" si="39"/>
        <v>0</v>
      </c>
    </row>
    <row r="193" spans="1:8" outlineLevel="1">
      <c r="A193" s="308" t="s">
        <v>281</v>
      </c>
      <c r="B193" s="309">
        <f t="shared" ref="B193:H193" si="40">B192/B172</f>
        <v>0</v>
      </c>
      <c r="C193" s="309">
        <f t="shared" si="40"/>
        <v>0</v>
      </c>
      <c r="D193" s="309">
        <f t="shared" si="40"/>
        <v>0</v>
      </c>
      <c r="E193" s="309">
        <f t="shared" si="40"/>
        <v>0</v>
      </c>
      <c r="F193" s="309">
        <f t="shared" si="40"/>
        <v>0</v>
      </c>
      <c r="G193" s="309">
        <f t="shared" si="40"/>
        <v>0</v>
      </c>
      <c r="H193" s="310">
        <f t="shared" si="40"/>
        <v>0</v>
      </c>
    </row>
    <row r="195" spans="1:8" ht="24.75" customHeight="1">
      <c r="A195" s="416" t="s">
        <v>409</v>
      </c>
      <c r="B195" s="412">
        <v>2011</v>
      </c>
      <c r="C195" s="412">
        <v>2012</v>
      </c>
      <c r="D195" s="412">
        <v>2013</v>
      </c>
      <c r="E195" s="412">
        <v>2014</v>
      </c>
      <c r="F195" s="412">
        <v>2015</v>
      </c>
      <c r="G195" s="413">
        <v>2016</v>
      </c>
      <c r="H195" s="414">
        <v>2017</v>
      </c>
    </row>
    <row r="196" spans="1:8" outlineLevel="1">
      <c r="A196" s="281" t="s">
        <v>360</v>
      </c>
      <c r="B196" s="282">
        <v>1448317.35</v>
      </c>
      <c r="C196" s="282">
        <v>1448317.35</v>
      </c>
      <c r="D196" s="282">
        <v>1491766.8705000002</v>
      </c>
      <c r="E196" s="282">
        <v>1532044.5760035</v>
      </c>
      <c r="F196" s="282">
        <v>1573409.7795555943</v>
      </c>
      <c r="G196" s="402">
        <v>1615891.8436035952</v>
      </c>
      <c r="H196" s="283">
        <v>1658551.38827473</v>
      </c>
    </row>
    <row r="197" spans="1:8" outlineLevel="1">
      <c r="A197" s="205" t="s">
        <v>361</v>
      </c>
      <c r="B197" s="419">
        <v>3376.34</v>
      </c>
      <c r="C197" s="419"/>
      <c r="D197" s="419"/>
      <c r="E197" s="419"/>
      <c r="F197" s="419"/>
      <c r="G197" s="433"/>
      <c r="H197" s="434"/>
    </row>
    <row r="198" spans="1:8" outlineLevel="1">
      <c r="A198" s="284" t="s">
        <v>362</v>
      </c>
      <c r="B198" s="312"/>
      <c r="C198" s="312"/>
      <c r="D198" s="312"/>
      <c r="E198" s="312"/>
      <c r="F198" s="312"/>
      <c r="G198" s="410"/>
      <c r="H198" s="313"/>
    </row>
    <row r="199" spans="1:8" outlineLevel="1">
      <c r="A199" s="205" t="s">
        <v>363</v>
      </c>
      <c r="B199" s="275">
        <v>1185</v>
      </c>
      <c r="C199" s="209"/>
      <c r="D199" s="209"/>
      <c r="E199" s="209"/>
      <c r="F199" s="209"/>
      <c r="G199" s="367"/>
      <c r="H199" s="210"/>
    </row>
    <row r="200" spans="1:8" outlineLevel="1">
      <c r="A200" s="213" t="s">
        <v>364</v>
      </c>
      <c r="B200" s="287">
        <v>1424424.8</v>
      </c>
      <c r="C200" s="287">
        <v>1424424.8</v>
      </c>
      <c r="D200" s="287">
        <v>1467157.544</v>
      </c>
      <c r="E200" s="287">
        <v>1506770.7976879999</v>
      </c>
      <c r="F200" s="287">
        <v>1547453.6092255758</v>
      </c>
      <c r="G200" s="404">
        <v>1589234.8566746663</v>
      </c>
      <c r="H200" s="288">
        <v>1631190.6568908775</v>
      </c>
    </row>
    <row r="201" spans="1:8" outlineLevel="1">
      <c r="A201" s="316" t="s">
        <v>365</v>
      </c>
      <c r="B201" s="293">
        <v>250</v>
      </c>
      <c r="C201" s="293"/>
      <c r="D201" s="293"/>
      <c r="E201" s="293"/>
      <c r="F201" s="293"/>
      <c r="G201" s="406"/>
      <c r="H201" s="294"/>
    </row>
    <row r="202" spans="1:8" outlineLevel="1">
      <c r="A202" s="316" t="s">
        <v>366</v>
      </c>
      <c r="B202" s="293">
        <v>1912.4</v>
      </c>
      <c r="C202" s="293"/>
      <c r="D202" s="293"/>
      <c r="E202" s="293"/>
      <c r="F202" s="293"/>
      <c r="G202" s="406"/>
      <c r="H202" s="294"/>
    </row>
    <row r="203" spans="1:8" outlineLevel="1">
      <c r="A203" s="284" t="s">
        <v>367</v>
      </c>
      <c r="B203" s="295"/>
      <c r="C203" s="296"/>
      <c r="D203" s="296"/>
      <c r="E203" s="296"/>
      <c r="F203" s="296"/>
      <c r="G203" s="407"/>
      <c r="H203" s="297"/>
    </row>
    <row r="204" spans="1:8" outlineLevel="1">
      <c r="A204" s="220" t="s">
        <v>368</v>
      </c>
      <c r="B204" s="215">
        <f t="shared" ref="B204:H204" si="41">B196-B200</f>
        <v>23892.550000000047</v>
      </c>
      <c r="C204" s="215">
        <f t="shared" si="41"/>
        <v>23892.550000000047</v>
      </c>
      <c r="D204" s="215">
        <f t="shared" si="41"/>
        <v>24609.326500000199</v>
      </c>
      <c r="E204" s="215">
        <f t="shared" si="41"/>
        <v>25273.778315500123</v>
      </c>
      <c r="F204" s="215">
        <f t="shared" si="41"/>
        <v>25956.170330018504</v>
      </c>
      <c r="G204" s="215">
        <f t="shared" si="41"/>
        <v>26656.986928928876</v>
      </c>
      <c r="H204" s="216">
        <f t="shared" si="41"/>
        <v>27360.731383852428</v>
      </c>
    </row>
    <row r="205" spans="1:8" outlineLevel="1">
      <c r="A205" s="221" t="s">
        <v>369</v>
      </c>
      <c r="B205" s="287">
        <v>11821.51</v>
      </c>
      <c r="C205" s="287">
        <v>11821.51</v>
      </c>
      <c r="D205" s="287">
        <v>11821.51</v>
      </c>
      <c r="E205" s="287">
        <v>11821.51</v>
      </c>
      <c r="F205" s="287">
        <v>11821.51</v>
      </c>
      <c r="G205" s="404">
        <v>11821.51</v>
      </c>
      <c r="H205" s="288">
        <v>11821.51</v>
      </c>
    </row>
    <row r="206" spans="1:8" outlineLevel="1">
      <c r="A206" s="221" t="s">
        <v>316</v>
      </c>
      <c r="B206" s="215">
        <f t="shared" ref="B206:H206" si="42">B204+B205</f>
        <v>35714.060000000049</v>
      </c>
      <c r="C206" s="215">
        <f t="shared" si="42"/>
        <v>35714.060000000049</v>
      </c>
      <c r="D206" s="215">
        <f t="shared" si="42"/>
        <v>36430.836500000201</v>
      </c>
      <c r="E206" s="215">
        <f t="shared" si="42"/>
        <v>37095.288315500125</v>
      </c>
      <c r="F206" s="215">
        <f t="shared" si="42"/>
        <v>37777.680330018506</v>
      </c>
      <c r="G206" s="215">
        <f t="shared" si="42"/>
        <v>38478.496928928878</v>
      </c>
      <c r="H206" s="216">
        <f t="shared" si="42"/>
        <v>39182.24138385243</v>
      </c>
    </row>
    <row r="207" spans="1:8" outlineLevel="1">
      <c r="A207" s="221" t="s">
        <v>370</v>
      </c>
      <c r="B207" s="287">
        <v>0</v>
      </c>
      <c r="C207" s="287"/>
      <c r="D207" s="287"/>
      <c r="E207" s="287"/>
      <c r="F207" s="287"/>
      <c r="G207" s="404"/>
      <c r="H207" s="288"/>
    </row>
    <row r="208" spans="1:8" ht="25.5" outlineLevel="1">
      <c r="A208" s="236" t="s">
        <v>320</v>
      </c>
      <c r="B208" s="275">
        <v>20002.62</v>
      </c>
      <c r="C208" s="209"/>
      <c r="D208" s="209"/>
      <c r="E208" s="209"/>
      <c r="F208" s="209"/>
      <c r="G208" s="367"/>
      <c r="H208" s="210"/>
    </row>
    <row r="209" spans="1:8" ht="25.5" outlineLevel="1">
      <c r="A209" s="236" t="s">
        <v>371</v>
      </c>
      <c r="B209" s="275">
        <v>-15711</v>
      </c>
      <c r="C209" s="209"/>
      <c r="D209" s="209"/>
      <c r="E209" s="209"/>
      <c r="F209" s="209"/>
      <c r="G209" s="367"/>
      <c r="H209" s="210"/>
    </row>
    <row r="210" spans="1:8" outlineLevel="1">
      <c r="A210" s="300"/>
      <c r="B210" s="239"/>
      <c r="C210" s="239"/>
      <c r="D210" s="239"/>
      <c r="E210" s="239"/>
      <c r="F210" s="239"/>
      <c r="G210" s="369"/>
      <c r="H210" s="240"/>
    </row>
    <row r="211" spans="1:8" ht="25.5" outlineLevel="1">
      <c r="A211" s="236" t="s">
        <v>322</v>
      </c>
      <c r="B211" s="287">
        <v>128581</v>
      </c>
      <c r="C211" s="243">
        <f>B211+C208</f>
        <v>128581</v>
      </c>
      <c r="D211" s="243">
        <f>C211+D208</f>
        <v>128581</v>
      </c>
      <c r="E211" s="243">
        <f>D211+E208</f>
        <v>128581</v>
      </c>
      <c r="F211" s="243">
        <f>E211+F208</f>
        <v>128581</v>
      </c>
      <c r="G211" s="243">
        <f>F211+G208</f>
        <v>128581</v>
      </c>
      <c r="H211" s="244">
        <f>F211+H208</f>
        <v>128581</v>
      </c>
    </row>
    <row r="212" spans="1:8" outlineLevel="1">
      <c r="A212" s="317" t="s">
        <v>323</v>
      </c>
      <c r="B212" s="301">
        <v>0</v>
      </c>
      <c r="C212" s="209"/>
      <c r="D212" s="209"/>
      <c r="E212" s="209"/>
      <c r="F212" s="209"/>
      <c r="G212" s="367"/>
      <c r="H212" s="210"/>
    </row>
    <row r="213" spans="1:8" outlineLevel="1">
      <c r="A213" s="318" t="s">
        <v>372</v>
      </c>
      <c r="B213" s="315"/>
      <c r="C213" s="303"/>
      <c r="D213" s="303"/>
      <c r="E213" s="303"/>
      <c r="F213" s="303"/>
      <c r="G213" s="371"/>
      <c r="H213" s="249"/>
    </row>
    <row r="214" spans="1:8" outlineLevel="1">
      <c r="A214" s="318" t="s">
        <v>373</v>
      </c>
      <c r="B214" s="301"/>
      <c r="C214" s="209"/>
      <c r="D214" s="303"/>
      <c r="E214" s="303"/>
      <c r="F214" s="303"/>
      <c r="G214" s="371"/>
      <c r="H214" s="249"/>
    </row>
    <row r="215" spans="1:8" outlineLevel="1">
      <c r="A215" s="304" t="s">
        <v>374</v>
      </c>
      <c r="B215" s="305"/>
      <c r="C215" s="219"/>
      <c r="D215" s="306"/>
      <c r="E215" s="306"/>
      <c r="F215" s="306"/>
      <c r="G215" s="408"/>
      <c r="H215" s="307"/>
    </row>
    <row r="216" spans="1:8" outlineLevel="1">
      <c r="A216" s="236" t="s">
        <v>375</v>
      </c>
      <c r="B216" s="206">
        <f t="shared" ref="B216:H216" si="43">IF(B212-B211&lt;0,0,B212-B211)</f>
        <v>0</v>
      </c>
      <c r="C216" s="206">
        <f t="shared" si="43"/>
        <v>0</v>
      </c>
      <c r="D216" s="206">
        <f t="shared" si="43"/>
        <v>0</v>
      </c>
      <c r="E216" s="206">
        <f t="shared" si="43"/>
        <v>0</v>
      </c>
      <c r="F216" s="206">
        <f t="shared" si="43"/>
        <v>0</v>
      </c>
      <c r="G216" s="206">
        <f t="shared" si="43"/>
        <v>0</v>
      </c>
      <c r="H216" s="207">
        <f t="shared" si="43"/>
        <v>0</v>
      </c>
    </row>
    <row r="217" spans="1:8" outlineLevel="1">
      <c r="A217" s="308" t="s">
        <v>281</v>
      </c>
      <c r="B217" s="309">
        <f t="shared" ref="B217:H217" si="44">B216/B196</f>
        <v>0</v>
      </c>
      <c r="C217" s="309">
        <f t="shared" si="44"/>
        <v>0</v>
      </c>
      <c r="D217" s="309">
        <f t="shared" si="44"/>
        <v>0</v>
      </c>
      <c r="E217" s="309">
        <f t="shared" si="44"/>
        <v>0</v>
      </c>
      <c r="F217" s="309">
        <f t="shared" si="44"/>
        <v>0</v>
      </c>
      <c r="G217" s="309">
        <f t="shared" si="44"/>
        <v>0</v>
      </c>
      <c r="H217" s="310">
        <f t="shared" si="44"/>
        <v>0</v>
      </c>
    </row>
    <row r="219" spans="1:8" ht="24.75" customHeight="1">
      <c r="A219" s="272" t="s">
        <v>376</v>
      </c>
      <c r="B219" s="412">
        <v>2011</v>
      </c>
      <c r="C219" s="412">
        <v>2012</v>
      </c>
      <c r="D219" s="412">
        <v>2013</v>
      </c>
      <c r="E219" s="412">
        <v>2014</v>
      </c>
      <c r="F219" s="412">
        <v>2015</v>
      </c>
      <c r="G219" s="413">
        <v>2016</v>
      </c>
      <c r="H219" s="414">
        <v>2017</v>
      </c>
    </row>
    <row r="220" spans="1:8" hidden="1" outlineLevel="1">
      <c r="A220" s="281" t="s">
        <v>360</v>
      </c>
      <c r="B220" s="282"/>
      <c r="C220" s="282"/>
      <c r="D220" s="282"/>
      <c r="E220" s="282"/>
      <c r="F220" s="282"/>
      <c r="G220" s="402"/>
      <c r="H220" s="283"/>
    </row>
    <row r="221" spans="1:8" hidden="1" outlineLevel="1">
      <c r="A221" s="205" t="s">
        <v>361</v>
      </c>
      <c r="B221" s="282"/>
      <c r="C221" s="282"/>
      <c r="D221" s="282"/>
      <c r="E221" s="282"/>
      <c r="F221" s="282"/>
      <c r="G221" s="402"/>
      <c r="H221" s="283"/>
    </row>
    <row r="222" spans="1:8" hidden="1" outlineLevel="1">
      <c r="A222" s="284" t="s">
        <v>362</v>
      </c>
      <c r="B222" s="312"/>
      <c r="C222" s="312"/>
      <c r="D222" s="312"/>
      <c r="E222" s="312"/>
      <c r="F222" s="312"/>
      <c r="G222" s="410"/>
      <c r="H222" s="313"/>
    </row>
    <row r="223" spans="1:8" hidden="1" outlineLevel="1">
      <c r="A223" s="205" t="s">
        <v>363</v>
      </c>
      <c r="B223" s="275"/>
      <c r="C223" s="209"/>
      <c r="D223" s="209"/>
      <c r="E223" s="209"/>
      <c r="F223" s="209"/>
      <c r="G223" s="367"/>
      <c r="H223" s="210"/>
    </row>
    <row r="224" spans="1:8" hidden="1" outlineLevel="1">
      <c r="A224" s="213" t="s">
        <v>364</v>
      </c>
      <c r="B224" s="287"/>
      <c r="C224" s="287"/>
      <c r="D224" s="287"/>
      <c r="E224" s="287"/>
      <c r="F224" s="287"/>
      <c r="G224" s="404"/>
      <c r="H224" s="288"/>
    </row>
    <row r="225" spans="1:8" hidden="1" outlineLevel="1">
      <c r="A225" s="316" t="s">
        <v>365</v>
      </c>
      <c r="B225" s="290"/>
      <c r="C225" s="290"/>
      <c r="D225" s="290"/>
      <c r="E225" s="290"/>
      <c r="F225" s="290"/>
      <c r="G225" s="405"/>
      <c r="H225" s="291"/>
    </row>
    <row r="226" spans="1:8" hidden="1" outlineLevel="1">
      <c r="A226" s="316" t="s">
        <v>366</v>
      </c>
      <c r="B226" s="293"/>
      <c r="C226" s="293"/>
      <c r="D226" s="293"/>
      <c r="E226" s="293"/>
      <c r="F226" s="293"/>
      <c r="G226" s="406"/>
      <c r="H226" s="294"/>
    </row>
    <row r="227" spans="1:8" hidden="1" outlineLevel="1">
      <c r="A227" s="284" t="s">
        <v>367</v>
      </c>
      <c r="B227" s="295"/>
      <c r="C227" s="296"/>
      <c r="D227" s="296"/>
      <c r="E227" s="296"/>
      <c r="F227" s="296"/>
      <c r="G227" s="407"/>
      <c r="H227" s="297"/>
    </row>
    <row r="228" spans="1:8" hidden="1" outlineLevel="1">
      <c r="A228" s="220" t="s">
        <v>368</v>
      </c>
      <c r="B228" s="215">
        <f t="shared" ref="B228:H228" si="45">B220-B224</f>
        <v>0</v>
      </c>
      <c r="C228" s="215">
        <f t="shared" si="45"/>
        <v>0</v>
      </c>
      <c r="D228" s="215">
        <f t="shared" si="45"/>
        <v>0</v>
      </c>
      <c r="E228" s="215">
        <f t="shared" si="45"/>
        <v>0</v>
      </c>
      <c r="F228" s="215">
        <f t="shared" si="45"/>
        <v>0</v>
      </c>
      <c r="G228" s="214"/>
      <c r="H228" s="216">
        <f t="shared" si="45"/>
        <v>0</v>
      </c>
    </row>
    <row r="229" spans="1:8" hidden="1" outlineLevel="1">
      <c r="A229" s="221" t="s">
        <v>369</v>
      </c>
      <c r="B229" s="287"/>
      <c r="C229" s="287"/>
      <c r="D229" s="287"/>
      <c r="E229" s="287"/>
      <c r="F229" s="287"/>
      <c r="G229" s="404"/>
      <c r="H229" s="288"/>
    </row>
    <row r="230" spans="1:8" hidden="1" outlineLevel="1">
      <c r="A230" s="221" t="s">
        <v>316</v>
      </c>
      <c r="B230" s="215">
        <f t="shared" ref="B230:H230" si="46">B228+B229</f>
        <v>0</v>
      </c>
      <c r="C230" s="215">
        <f t="shared" si="46"/>
        <v>0</v>
      </c>
      <c r="D230" s="215">
        <f t="shared" si="46"/>
        <v>0</v>
      </c>
      <c r="E230" s="215">
        <f t="shared" si="46"/>
        <v>0</v>
      </c>
      <c r="F230" s="215">
        <f t="shared" si="46"/>
        <v>0</v>
      </c>
      <c r="G230" s="214"/>
      <c r="H230" s="216">
        <f t="shared" si="46"/>
        <v>0</v>
      </c>
    </row>
    <row r="231" spans="1:8" hidden="1" outlineLevel="1">
      <c r="A231" s="221" t="s">
        <v>370</v>
      </c>
      <c r="B231" s="287"/>
      <c r="C231" s="287"/>
      <c r="D231" s="287"/>
      <c r="E231" s="287"/>
      <c r="F231" s="287"/>
      <c r="G231" s="404"/>
      <c r="H231" s="288"/>
    </row>
    <row r="232" spans="1:8" ht="25.5" hidden="1" outlineLevel="1">
      <c r="A232" s="236" t="s">
        <v>320</v>
      </c>
      <c r="B232" s="275"/>
      <c r="C232" s="209"/>
      <c r="D232" s="209"/>
      <c r="E232" s="209"/>
      <c r="F232" s="209"/>
      <c r="G232" s="367"/>
      <c r="H232" s="210"/>
    </row>
    <row r="233" spans="1:8" ht="25.5" hidden="1" outlineLevel="1">
      <c r="A233" s="236" t="s">
        <v>371</v>
      </c>
      <c r="B233" s="275"/>
      <c r="C233" s="209"/>
      <c r="D233" s="209"/>
      <c r="E233" s="209"/>
      <c r="F233" s="209"/>
      <c r="G233" s="367"/>
      <c r="H233" s="210"/>
    </row>
    <row r="234" spans="1:8" hidden="1" outlineLevel="1">
      <c r="A234" s="300"/>
      <c r="B234" s="239"/>
      <c r="C234" s="239"/>
      <c r="D234" s="239"/>
      <c r="E234" s="239"/>
      <c r="F234" s="239"/>
      <c r="G234" s="369"/>
      <c r="H234" s="240"/>
    </row>
    <row r="235" spans="1:8" ht="25.5" hidden="1" outlineLevel="1">
      <c r="A235" s="236" t="s">
        <v>322</v>
      </c>
      <c r="B235" s="287"/>
      <c r="C235" s="243">
        <f>B235+C232</f>
        <v>0</v>
      </c>
      <c r="D235" s="243">
        <f>C235+D232</f>
        <v>0</v>
      </c>
      <c r="E235" s="243">
        <f>D235+E232</f>
        <v>0</v>
      </c>
      <c r="F235" s="243">
        <f>E235+F232</f>
        <v>0</v>
      </c>
      <c r="G235" s="370"/>
      <c r="H235" s="244">
        <f>F235+H232</f>
        <v>0</v>
      </c>
    </row>
    <row r="236" spans="1:8" hidden="1" outlineLevel="1">
      <c r="A236" s="317" t="s">
        <v>323</v>
      </c>
      <c r="B236" s="301"/>
      <c r="C236" s="209"/>
      <c r="D236" s="209"/>
      <c r="E236" s="209"/>
      <c r="F236" s="209"/>
      <c r="G236" s="367"/>
      <c r="H236" s="210"/>
    </row>
    <row r="237" spans="1:8" hidden="1" outlineLevel="1">
      <c r="A237" s="318" t="s">
        <v>372</v>
      </c>
      <c r="B237" s="315"/>
      <c r="C237" s="303"/>
      <c r="D237" s="303"/>
      <c r="E237" s="303"/>
      <c r="F237" s="303"/>
      <c r="G237" s="371"/>
      <c r="H237" s="249"/>
    </row>
    <row r="238" spans="1:8" hidden="1" outlineLevel="1">
      <c r="A238" s="318" t="s">
        <v>373</v>
      </c>
      <c r="B238" s="301"/>
      <c r="C238" s="209"/>
      <c r="D238" s="303"/>
      <c r="E238" s="303"/>
      <c r="F238" s="303"/>
      <c r="G238" s="371"/>
      <c r="H238" s="249"/>
    </row>
    <row r="239" spans="1:8" hidden="1" outlineLevel="1">
      <c r="A239" s="304" t="s">
        <v>374</v>
      </c>
      <c r="B239" s="305"/>
      <c r="C239" s="219"/>
      <c r="D239" s="306"/>
      <c r="E239" s="306"/>
      <c r="F239" s="306"/>
      <c r="G239" s="408"/>
      <c r="H239" s="307"/>
    </row>
    <row r="240" spans="1:8" hidden="1" outlineLevel="1">
      <c r="A240" s="236" t="s">
        <v>375</v>
      </c>
      <c r="B240" s="206">
        <f t="shared" ref="B240:H240" si="47">IF(B236-B235&lt;0,0,B236-B235)</f>
        <v>0</v>
      </c>
      <c r="C240" s="206">
        <f t="shared" si="47"/>
        <v>0</v>
      </c>
      <c r="D240" s="206">
        <f t="shared" si="47"/>
        <v>0</v>
      </c>
      <c r="E240" s="206">
        <f t="shared" si="47"/>
        <v>0</v>
      </c>
      <c r="F240" s="206">
        <f t="shared" si="47"/>
        <v>0</v>
      </c>
      <c r="G240" s="211"/>
      <c r="H240" s="207">
        <f t="shared" si="47"/>
        <v>0</v>
      </c>
    </row>
    <row r="241" spans="1:8" hidden="1" outlineLevel="1">
      <c r="A241" s="308" t="s">
        <v>281</v>
      </c>
      <c r="B241" s="309" t="e">
        <f t="shared" ref="B241:H241" si="48">B240/B220</f>
        <v>#DIV/0!</v>
      </c>
      <c r="C241" s="309" t="e">
        <f t="shared" si="48"/>
        <v>#DIV/0!</v>
      </c>
      <c r="D241" s="309" t="e">
        <f t="shared" si="48"/>
        <v>#DIV/0!</v>
      </c>
      <c r="E241" s="309" t="e">
        <f t="shared" si="48"/>
        <v>#DIV/0!</v>
      </c>
      <c r="F241" s="309" t="e">
        <f t="shared" si="48"/>
        <v>#DIV/0!</v>
      </c>
      <c r="G241" s="409"/>
      <c r="H241" s="310" t="e">
        <f t="shared" si="48"/>
        <v>#DIV/0!</v>
      </c>
    </row>
    <row r="242" spans="1:8" collapsed="1"/>
    <row r="243" spans="1:8" ht="24.75" customHeight="1">
      <c r="A243" s="272" t="s">
        <v>377</v>
      </c>
      <c r="B243" s="412">
        <v>2011</v>
      </c>
      <c r="C243" s="412">
        <v>2012</v>
      </c>
      <c r="D243" s="412">
        <v>2013</v>
      </c>
      <c r="E243" s="412">
        <v>2014</v>
      </c>
      <c r="F243" s="412">
        <v>2015</v>
      </c>
      <c r="G243" s="413">
        <v>2016</v>
      </c>
      <c r="H243" s="414">
        <v>2017</v>
      </c>
    </row>
    <row r="244" spans="1:8">
      <c r="A244" s="281" t="s">
        <v>360</v>
      </c>
      <c r="B244" s="319">
        <f t="shared" ref="B244:H244" si="49">B4+B28+B52+B76+B100+B124+B148+B172+B196+B220-B7-B31-B55-B79-B103-B127-B151-B175-B199-B223</f>
        <v>4436922.1400000006</v>
      </c>
      <c r="C244" s="319">
        <f t="shared" si="49"/>
        <v>4607488.3499999996</v>
      </c>
      <c r="D244" s="319">
        <f t="shared" si="49"/>
        <v>4739326.1384999994</v>
      </c>
      <c r="E244" s="319">
        <f t="shared" si="49"/>
        <v>4850747.8752394998</v>
      </c>
      <c r="F244" s="319">
        <f t="shared" si="49"/>
        <v>4955716.3488709666</v>
      </c>
      <c r="G244" s="319">
        <f t="shared" si="49"/>
        <v>5078248.9712904831</v>
      </c>
      <c r="H244" s="320">
        <f t="shared" si="49"/>
        <v>5187699.8386177169</v>
      </c>
    </row>
    <row r="245" spans="1:8">
      <c r="A245" s="205" t="s">
        <v>361</v>
      </c>
      <c r="B245" s="321">
        <f t="shared" ref="B245:H246" si="50">B5+B29+B53+B77+B101+B125+B149+B173+B197+B221</f>
        <v>1277651.1399999999</v>
      </c>
      <c r="C245" s="321">
        <f t="shared" si="50"/>
        <v>1248041</v>
      </c>
      <c r="D245" s="321">
        <f t="shared" si="50"/>
        <v>1264497.6969999999</v>
      </c>
      <c r="E245" s="321">
        <f t="shared" si="50"/>
        <v>1285173.6968189999</v>
      </c>
      <c r="F245" s="321">
        <f t="shared" si="50"/>
        <v>1299400.8676331129</v>
      </c>
      <c r="G245" s="321">
        <f t="shared" si="50"/>
        <v>1325336.1720592068</v>
      </c>
      <c r="H245" s="322">
        <f t="shared" si="50"/>
        <v>1351918.7291221072</v>
      </c>
    </row>
    <row r="246" spans="1:8">
      <c r="A246" s="284" t="s">
        <v>362</v>
      </c>
      <c r="B246" s="285">
        <f t="shared" si="50"/>
        <v>0</v>
      </c>
      <c r="C246" s="285">
        <f t="shared" si="50"/>
        <v>0</v>
      </c>
      <c r="D246" s="285">
        <f t="shared" si="50"/>
        <v>0</v>
      </c>
      <c r="E246" s="285">
        <f t="shared" si="50"/>
        <v>0</v>
      </c>
      <c r="F246" s="285">
        <f t="shared" si="50"/>
        <v>0</v>
      </c>
      <c r="G246" s="285">
        <f t="shared" si="50"/>
        <v>0</v>
      </c>
      <c r="H246" s="285">
        <f t="shared" si="50"/>
        <v>0</v>
      </c>
    </row>
    <row r="247" spans="1:8">
      <c r="A247" s="213" t="s">
        <v>364</v>
      </c>
      <c r="B247" s="319">
        <f t="shared" ref="B247:H247" si="51">B8+B32+B56+B80+B104+B128+B152+B176+B200+B224-B10-B34-B58-B82-B106-B130-B154-B178-B202-B226</f>
        <v>4542196.7299999995</v>
      </c>
      <c r="C247" s="319">
        <f t="shared" si="51"/>
        <v>4454904.8</v>
      </c>
      <c r="D247" s="319">
        <f t="shared" si="51"/>
        <v>4606249.8999999994</v>
      </c>
      <c r="E247" s="319">
        <f t="shared" si="51"/>
        <v>4710469.5072999997</v>
      </c>
      <c r="F247" s="319">
        <f t="shared" si="51"/>
        <v>4798098.0439970987</v>
      </c>
      <c r="G247" s="319">
        <f t="shared" si="51"/>
        <v>4907180.5511850212</v>
      </c>
      <c r="H247" s="320">
        <f t="shared" si="51"/>
        <v>4944654.9576204661</v>
      </c>
    </row>
    <row r="248" spans="1:8">
      <c r="A248" s="316" t="s">
        <v>365</v>
      </c>
      <c r="B248" s="321">
        <f t="shared" ref="B248:H248" si="52">B9+B33+B57+B81+B105+B129+B153+B177+B201+B225</f>
        <v>25663.759999999998</v>
      </c>
      <c r="C248" s="321">
        <f t="shared" si="52"/>
        <v>27532</v>
      </c>
      <c r="D248" s="321">
        <f t="shared" si="52"/>
        <v>26572.669999999995</v>
      </c>
      <c r="E248" s="321">
        <f t="shared" si="52"/>
        <v>27222.632089999996</v>
      </c>
      <c r="F248" s="321">
        <f t="shared" si="52"/>
        <v>27890.143156429993</v>
      </c>
      <c r="G248" s="321">
        <f t="shared" si="52"/>
        <v>28575.677021653595</v>
      </c>
      <c r="H248" s="322">
        <f t="shared" si="52"/>
        <v>29279.62055740046</v>
      </c>
    </row>
    <row r="249" spans="1:8">
      <c r="A249" s="284" t="s">
        <v>367</v>
      </c>
      <c r="B249" s="295">
        <f t="shared" ref="B249:H249" si="53">B11+B35+B59+B83+B107+B131+B155+B179+B203+B227</f>
        <v>0</v>
      </c>
      <c r="C249" s="295">
        <f t="shared" si="53"/>
        <v>0</v>
      </c>
      <c r="D249" s="295">
        <f t="shared" si="53"/>
        <v>0</v>
      </c>
      <c r="E249" s="295">
        <f t="shared" si="53"/>
        <v>0</v>
      </c>
      <c r="F249" s="295">
        <f t="shared" si="53"/>
        <v>0</v>
      </c>
      <c r="G249" s="295">
        <f t="shared" si="53"/>
        <v>0</v>
      </c>
      <c r="H249" s="295">
        <f t="shared" si="53"/>
        <v>0</v>
      </c>
    </row>
    <row r="250" spans="1:8">
      <c r="A250" s="220" t="s">
        <v>368</v>
      </c>
      <c r="B250" s="215">
        <f t="shared" ref="B250:H250" si="54">B244-B247</f>
        <v>-105274.58999999892</v>
      </c>
      <c r="C250" s="215">
        <f t="shared" si="54"/>
        <v>152583.54999999981</v>
      </c>
      <c r="D250" s="215">
        <f t="shared" si="54"/>
        <v>133076.23849999998</v>
      </c>
      <c r="E250" s="215">
        <f t="shared" si="54"/>
        <v>140278.36793950014</v>
      </c>
      <c r="F250" s="215">
        <f t="shared" si="54"/>
        <v>157618.30487386789</v>
      </c>
      <c r="G250" s="215">
        <f t="shared" si="54"/>
        <v>171068.42010546196</v>
      </c>
      <c r="H250" s="216">
        <f t="shared" si="54"/>
        <v>243044.88099725079</v>
      </c>
    </row>
    <row r="251" spans="1:8">
      <c r="A251" s="221" t="s">
        <v>369</v>
      </c>
      <c r="B251" s="319">
        <f t="shared" ref="B251:H251" si="55">B13+B37+B61+B85+B109+B133+B157+B181+B205+B229</f>
        <v>128134.41000000002</v>
      </c>
      <c r="C251" s="319">
        <f t="shared" si="55"/>
        <v>-30332.489999999998</v>
      </c>
      <c r="D251" s="319">
        <f t="shared" si="55"/>
        <v>7256.51</v>
      </c>
      <c r="E251" s="319">
        <f t="shared" si="55"/>
        <v>5956.51</v>
      </c>
      <c r="F251" s="319">
        <f t="shared" si="55"/>
        <v>6056.51</v>
      </c>
      <c r="G251" s="319">
        <f t="shared" si="55"/>
        <v>6206.51</v>
      </c>
      <c r="H251" s="320">
        <f t="shared" si="55"/>
        <v>6411.51</v>
      </c>
    </row>
    <row r="252" spans="1:8">
      <c r="A252" s="221" t="s">
        <v>316</v>
      </c>
      <c r="B252" s="215">
        <f t="shared" ref="B252:H252" si="56">B250+B251</f>
        <v>22859.820000001098</v>
      </c>
      <c r="C252" s="215">
        <f t="shared" si="56"/>
        <v>122251.05999999982</v>
      </c>
      <c r="D252" s="215">
        <f t="shared" si="56"/>
        <v>140332.74849999999</v>
      </c>
      <c r="E252" s="215">
        <f t="shared" si="56"/>
        <v>146234.87793950015</v>
      </c>
      <c r="F252" s="215">
        <f t="shared" si="56"/>
        <v>163674.8148738679</v>
      </c>
      <c r="G252" s="215">
        <f t="shared" si="56"/>
        <v>177274.93010546197</v>
      </c>
      <c r="H252" s="216">
        <f t="shared" si="56"/>
        <v>249456.3909972508</v>
      </c>
    </row>
    <row r="253" spans="1:8">
      <c r="A253" s="221" t="s">
        <v>370</v>
      </c>
      <c r="B253" s="319">
        <f t="shared" ref="B253:H255" si="57">B15+B39+B63+B87+B111+B135+B159+B183+B207+B231</f>
        <v>10270.89</v>
      </c>
      <c r="C253" s="319">
        <f t="shared" si="57"/>
        <v>-35798.97</v>
      </c>
      <c r="D253" s="319">
        <f t="shared" si="57"/>
        <v>0</v>
      </c>
      <c r="E253" s="319">
        <f t="shared" si="57"/>
        <v>0</v>
      </c>
      <c r="F253" s="319">
        <f t="shared" si="57"/>
        <v>0</v>
      </c>
      <c r="G253" s="319">
        <f t="shared" si="57"/>
        <v>0</v>
      </c>
      <c r="H253" s="320">
        <f t="shared" si="57"/>
        <v>0</v>
      </c>
    </row>
    <row r="254" spans="1:8" ht="25.5">
      <c r="A254" s="236" t="s">
        <v>320</v>
      </c>
      <c r="B254" s="319">
        <f t="shared" si="57"/>
        <v>166181.93</v>
      </c>
      <c r="C254" s="319">
        <f t="shared" si="57"/>
        <v>-252021</v>
      </c>
      <c r="D254" s="319">
        <f t="shared" si="57"/>
        <v>-40417.889750000002</v>
      </c>
      <c r="E254" s="319">
        <f t="shared" si="57"/>
        <v>-37777.283773250005</v>
      </c>
      <c r="F254" s="319">
        <f t="shared" si="57"/>
        <v>-23863.170435127751</v>
      </c>
      <c r="G254" s="319">
        <f t="shared" si="57"/>
        <v>-14398.676036876202</v>
      </c>
      <c r="H254" s="320">
        <f t="shared" si="57"/>
        <v>-8883.7902898718585</v>
      </c>
    </row>
    <row r="255" spans="1:8" ht="25.5">
      <c r="A255" s="236" t="s">
        <v>371</v>
      </c>
      <c r="B255" s="319">
        <f t="shared" si="57"/>
        <v>175795</v>
      </c>
      <c r="C255" s="319">
        <f t="shared" si="57"/>
        <v>68282.97</v>
      </c>
      <c r="D255" s="319">
        <f t="shared" si="57"/>
        <v>-98464.087</v>
      </c>
      <c r="E255" s="319">
        <f t="shared" si="57"/>
        <v>-94234.117349000007</v>
      </c>
      <c r="F255" s="319">
        <f t="shared" si="57"/>
        <v>-80984.438517422997</v>
      </c>
      <c r="G255" s="319">
        <f t="shared" si="57"/>
        <v>-78214.518357393419</v>
      </c>
      <c r="H255" s="320">
        <f t="shared" si="57"/>
        <v>-75923.810353043053</v>
      </c>
    </row>
    <row r="256" spans="1:8">
      <c r="A256" s="300"/>
      <c r="B256" s="323"/>
      <c r="C256" s="323"/>
      <c r="D256" s="323"/>
      <c r="E256" s="323"/>
      <c r="F256" s="323"/>
      <c r="G256" s="411"/>
      <c r="H256" s="324"/>
    </row>
    <row r="257" spans="1:8" ht="25.5">
      <c r="A257" s="236" t="s">
        <v>322</v>
      </c>
      <c r="B257" s="319">
        <f>B19+B43+B67+B91+B115+B139+B163+B187+B211+B235</f>
        <v>683928</v>
      </c>
      <c r="C257" s="243">
        <f>B257+C254</f>
        <v>431907</v>
      </c>
      <c r="D257" s="243">
        <f>C257+D254</f>
        <v>391489.11025000003</v>
      </c>
      <c r="E257" s="243">
        <f>D257+E254</f>
        <v>353711.82647675002</v>
      </c>
      <c r="F257" s="243">
        <f>E257+F254</f>
        <v>329848.65604162228</v>
      </c>
      <c r="G257" s="243">
        <f>F257+G254</f>
        <v>315449.98000474606</v>
      </c>
      <c r="H257" s="244">
        <f>F257+H254</f>
        <v>320964.86575175042</v>
      </c>
    </row>
    <row r="258" spans="1:8">
      <c r="A258" s="245" t="s">
        <v>323</v>
      </c>
      <c r="B258" s="319">
        <f>B20+B44+B68+B92+B116+B140+B164+B188+B212+B236</f>
        <v>86928</v>
      </c>
      <c r="C258" s="319">
        <f t="shared" ref="C258:H260" si="58">C20+C44+C68+C92+C116+C140+C164+C188+C212+C236</f>
        <v>51129</v>
      </c>
      <c r="D258" s="319">
        <f t="shared" si="58"/>
        <v>51129</v>
      </c>
      <c r="E258" s="319">
        <f t="shared" si="58"/>
        <v>51129</v>
      </c>
      <c r="F258" s="319">
        <f t="shared" si="58"/>
        <v>51129</v>
      </c>
      <c r="G258" s="319">
        <f t="shared" si="58"/>
        <v>51129</v>
      </c>
      <c r="H258" s="320">
        <f t="shared" si="58"/>
        <v>51129</v>
      </c>
    </row>
    <row r="259" spans="1:8">
      <c r="A259" s="302" t="s">
        <v>372</v>
      </c>
      <c r="B259" s="321">
        <f>B21+B45+B69+B93+B117+B141+B165+B189+B213+B237</f>
        <v>0</v>
      </c>
      <c r="C259" s="321">
        <f t="shared" si="58"/>
        <v>0</v>
      </c>
      <c r="D259" s="321">
        <f t="shared" si="58"/>
        <v>0</v>
      </c>
      <c r="E259" s="321">
        <f t="shared" si="58"/>
        <v>0</v>
      </c>
      <c r="F259" s="321">
        <f t="shared" si="58"/>
        <v>0</v>
      </c>
      <c r="G259" s="321">
        <f t="shared" si="58"/>
        <v>0</v>
      </c>
      <c r="H259" s="322">
        <f t="shared" si="58"/>
        <v>0</v>
      </c>
    </row>
    <row r="260" spans="1:8">
      <c r="A260" s="302" t="s">
        <v>373</v>
      </c>
      <c r="B260" s="321">
        <f>B22+B46+B70+B94+B118+B142+B166+B190+B214+B238</f>
        <v>81129</v>
      </c>
      <c r="C260" s="321">
        <f t="shared" si="58"/>
        <v>51129</v>
      </c>
      <c r="D260" s="321">
        <f t="shared" si="58"/>
        <v>51129</v>
      </c>
      <c r="E260" s="321">
        <f t="shared" si="58"/>
        <v>51129</v>
      </c>
      <c r="F260" s="321">
        <f t="shared" si="58"/>
        <v>51129</v>
      </c>
      <c r="G260" s="321">
        <f t="shared" si="58"/>
        <v>51129</v>
      </c>
      <c r="H260" s="322">
        <f t="shared" si="58"/>
        <v>51129</v>
      </c>
    </row>
    <row r="261" spans="1:8">
      <c r="A261" s="304" t="s">
        <v>374</v>
      </c>
      <c r="B261" s="285">
        <f>B23+B47+B71+B95+B119+B143+B167+B191+B215+B239</f>
        <v>0</v>
      </c>
      <c r="C261" s="285">
        <f t="shared" ref="C261:H261" si="59">C23+C47+C71+C95+C119+C143+C167+C191+C215+C239</f>
        <v>0</v>
      </c>
      <c r="D261" s="285">
        <f t="shared" si="59"/>
        <v>0</v>
      </c>
      <c r="E261" s="285">
        <f t="shared" si="59"/>
        <v>0</v>
      </c>
      <c r="F261" s="285">
        <f t="shared" si="59"/>
        <v>0</v>
      </c>
      <c r="G261" s="285">
        <f t="shared" si="59"/>
        <v>0</v>
      </c>
      <c r="H261" s="285">
        <f t="shared" si="59"/>
        <v>0</v>
      </c>
    </row>
    <row r="262" spans="1:8">
      <c r="A262" s="236" t="s">
        <v>375</v>
      </c>
      <c r="B262" s="206">
        <f t="shared" ref="B262:H262" si="60">IF(B258-B257&lt;0,0,B258-B257)</f>
        <v>0</v>
      </c>
      <c r="C262" s="206">
        <f t="shared" si="60"/>
        <v>0</v>
      </c>
      <c r="D262" s="206">
        <f t="shared" si="60"/>
        <v>0</v>
      </c>
      <c r="E262" s="206">
        <f t="shared" si="60"/>
        <v>0</v>
      </c>
      <c r="F262" s="206">
        <f t="shared" si="60"/>
        <v>0</v>
      </c>
      <c r="G262" s="206">
        <f t="shared" si="60"/>
        <v>0</v>
      </c>
      <c r="H262" s="207">
        <f t="shared" si="60"/>
        <v>0</v>
      </c>
    </row>
    <row r="263" spans="1:8">
      <c r="A263" s="308" t="s">
        <v>281</v>
      </c>
      <c r="B263" s="309">
        <f t="shared" ref="B263:H263" si="61">B262/B244</f>
        <v>0</v>
      </c>
      <c r="C263" s="309">
        <f t="shared" si="61"/>
        <v>0</v>
      </c>
      <c r="D263" s="309">
        <f t="shared" si="61"/>
        <v>0</v>
      </c>
      <c r="E263" s="309">
        <f t="shared" si="61"/>
        <v>0</v>
      </c>
      <c r="F263" s="309">
        <f t="shared" si="61"/>
        <v>0</v>
      </c>
      <c r="G263" s="309">
        <f t="shared" si="61"/>
        <v>0</v>
      </c>
      <c r="H263" s="310">
        <f t="shared" si="61"/>
        <v>0</v>
      </c>
    </row>
    <row r="264" spans="1:8">
      <c r="A264" s="259"/>
      <c r="B264" s="311"/>
    </row>
    <row r="265" spans="1:8">
      <c r="A265" s="325" t="s">
        <v>330</v>
      </c>
      <c r="B265" s="206">
        <f t="shared" ref="B265:H265" si="62">B252+B253-B254+B255</f>
        <v>42743.780000001105</v>
      </c>
      <c r="C265" s="206">
        <f t="shared" si="62"/>
        <v>406756.05999999982</v>
      </c>
      <c r="D265" s="206">
        <f t="shared" si="62"/>
        <v>82286.55124999999</v>
      </c>
      <c r="E265" s="206">
        <f t="shared" si="62"/>
        <v>89778.044363750145</v>
      </c>
      <c r="F265" s="206">
        <f t="shared" si="62"/>
        <v>106553.54679157265</v>
      </c>
      <c r="G265" s="206">
        <f t="shared" si="62"/>
        <v>113459.08778494474</v>
      </c>
      <c r="H265" s="206">
        <f t="shared" si="62"/>
        <v>182416.3709340796</v>
      </c>
    </row>
    <row r="266" spans="1:8">
      <c r="A266" s="325" t="s">
        <v>378</v>
      </c>
      <c r="B266" s="206">
        <f t="shared" ref="B266:H266" si="63">B7-B10+B31-B34+B55-B58+B79-B82+B103-B106+B127-B130+B151-B154+B175-B178+B199-B202+B223-B226</f>
        <v>-42743.030000000006</v>
      </c>
      <c r="C266" s="206">
        <f t="shared" si="63"/>
        <v>-69304</v>
      </c>
      <c r="D266" s="206">
        <f t="shared" si="63"/>
        <v>-71659</v>
      </c>
      <c r="E266" s="206">
        <f t="shared" si="63"/>
        <v>-72193.064000000013</v>
      </c>
      <c r="F266" s="206">
        <f t="shared" si="63"/>
        <v>-72792.897728000011</v>
      </c>
      <c r="G266" s="206">
        <f t="shared" si="63"/>
        <v>-73428.926966655999</v>
      </c>
      <c r="H266" s="206">
        <f t="shared" si="63"/>
        <v>-137048.86998188391</v>
      </c>
    </row>
  </sheetData>
  <sheetProtection selectLockedCells="1" selectUnlockedCells="1"/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E30" sqref="E30"/>
    </sheetView>
  </sheetViews>
  <sheetFormatPr defaultRowHeight="12.75"/>
  <cols>
    <col min="1" max="1" width="46.28515625" customWidth="1"/>
    <col min="2" max="2" width="12" customWidth="1"/>
    <col min="3" max="3" width="12.28515625" customWidth="1"/>
    <col min="4" max="7" width="12.140625" customWidth="1"/>
    <col min="8" max="8" width="12.5703125" customWidth="1"/>
    <col min="9" max="9" width="10.85546875" customWidth="1"/>
    <col min="11" max="11" width="11.140625" customWidth="1"/>
  </cols>
  <sheetData>
    <row r="1" spans="1:11" ht="15.75">
      <c r="A1" s="440" t="s">
        <v>416</v>
      </c>
      <c r="B1" s="440"/>
      <c r="C1" s="440"/>
      <c r="D1" s="440"/>
      <c r="E1" s="440"/>
      <c r="F1" s="440"/>
      <c r="G1" s="440"/>
      <c r="H1" s="440"/>
    </row>
    <row r="3" spans="1:11" ht="26.25" customHeight="1">
      <c r="A3" s="272" t="s">
        <v>379</v>
      </c>
      <c r="B3" s="412">
        <v>2011</v>
      </c>
      <c r="C3" s="412">
        <v>2012</v>
      </c>
      <c r="D3" s="412">
        <v>2013</v>
      </c>
      <c r="E3" s="412">
        <v>2014</v>
      </c>
      <c r="F3" s="412">
        <v>2015</v>
      </c>
      <c r="G3" s="413">
        <v>2016</v>
      </c>
      <c r="H3" s="414">
        <v>2017</v>
      </c>
    </row>
    <row r="4" spans="1:11" ht="15" customHeight="1">
      <c r="A4" s="281" t="s">
        <v>285</v>
      </c>
      <c r="B4" s="319">
        <f>'1.2 Strateegia vorm KOV'!B4+'1.4Sõltuvad üksused'!B244-'1.4Sõltuvad üksused'!B248-'1.4Sõltuvad üksused'!B245</f>
        <v>95046045.399999991</v>
      </c>
      <c r="C4" s="319">
        <f>'1.2 Strateegia vorm KOV'!C4+'1.4Sõltuvad üksused'!C244-'1.4Sõltuvad üksused'!C248-'1.4Sõltuvad üksused'!C245</f>
        <v>95048746.349999994</v>
      </c>
      <c r="D4" s="319">
        <f>'1.2 Strateegia vorm KOV'!D4+'1.4Sõltuvad üksused'!D244-'1.4Sõltuvad üksused'!D248-'1.4Sõltuvad üksused'!D245</f>
        <v>99227151.531500012</v>
      </c>
      <c r="E4" s="319">
        <f>'1.2 Strateegia vorm KOV'!E4+'1.4Sõltuvad üksused'!E244-'1.4Sõltuvad üksused'!E248-'1.4Sõltuvad üksused'!E245</f>
        <v>102889543.1608505</v>
      </c>
      <c r="F4" s="319">
        <f>'1.2 Strateegia vorm KOV'!F4+'1.4Sõltuvad üksused'!F244-'1.4Sõltuvad üksused'!F248-'1.4Sõltuvad üksused'!F245</f>
        <v>106773146.54719347</v>
      </c>
      <c r="G4" s="319">
        <f>'1.2 Strateegia vorm KOV'!G4+'1.4Sõltuvad üksused'!G244-'1.4Sõltuvad üksused'!G248-'1.4Sõltuvad üksused'!G245</f>
        <v>111100291.79196768</v>
      </c>
      <c r="H4" s="320">
        <f>'1.2 Strateegia vorm KOV'!G4+'1.4Sõltuvad üksused'!H244-'1.4Sõltuvad üksused'!H248-'1.4Sõltuvad üksused'!H245</f>
        <v>111182456.15869626</v>
      </c>
      <c r="J4" s="225"/>
    </row>
    <row r="5" spans="1:11">
      <c r="A5" s="213" t="s">
        <v>296</v>
      </c>
      <c r="B5" s="215">
        <f>'1.2 Strateegia vorm KOV'!B15+'1.4Sõltuvad üksused'!B247-'1.4Sõltuvad üksused'!B248-'1.4Sõltuvad üksused'!B245</f>
        <v>86550092.980000004</v>
      </c>
      <c r="C5" s="215">
        <f>'1.2 Strateegia vorm KOV'!C15+'1.4Sõltuvad üksused'!C247-'1.4Sõltuvad üksused'!C248-'1.4Sõltuvad üksused'!C245</f>
        <v>90380905.799999997</v>
      </c>
      <c r="D5" s="215">
        <f>'1.2 Strateegia vorm KOV'!D15+'1.4Sõltuvad üksused'!D247-'1.4Sõltuvad üksused'!D248-'1.4Sõltuvad üksused'!D245</f>
        <v>93132800.753000006</v>
      </c>
      <c r="E5" s="215">
        <f>'1.2 Strateegia vorm KOV'!E15+'1.4Sõltuvad üksused'!E247-'1.4Sõltuvad üksused'!E248-'1.4Sõltuvad üksused'!E245</f>
        <v>95640770.171330988</v>
      </c>
      <c r="F5" s="215">
        <f>'1.2 Strateegia vorm KOV'!F15+'1.4Sõltuvad üksused'!F247-'1.4Sõltuvad üksused'!F248-'1.4Sõltuvad üksused'!F245</f>
        <v>98204056.844956905</v>
      </c>
      <c r="G5" s="215">
        <f>'1.2 Strateegia vorm KOV'!G15+'1.4Sõltuvad üksused'!G247-'1.4Sõltuvad üksused'!G248-'1.4Sõltuvad üksused'!G245</f>
        <v>100844316.25877076</v>
      </c>
      <c r="H5" s="216">
        <f>'1.2 Strateegia vorm KOV'!G15+'1.4Sõltuvad üksused'!H247-'1.4Sõltuvad üksused'!H248-'1.4Sõltuvad üksused'!H245</f>
        <v>100854504.16460757</v>
      </c>
      <c r="J5" s="225"/>
    </row>
    <row r="6" spans="1:11">
      <c r="A6" s="421" t="s">
        <v>380</v>
      </c>
      <c r="B6" s="215">
        <f>'1.4Sõltuvad üksused'!B249+'1.2 Strateegia vorm KOV'!B20-'1.4Sõltuvad üksused'!B246</f>
        <v>0</v>
      </c>
      <c r="C6" s="215">
        <f>'1.4Sõltuvad üksused'!C249+'1.2 Strateegia vorm KOV'!C20-'1.4Sõltuvad üksused'!C246</f>
        <v>0</v>
      </c>
      <c r="D6" s="215">
        <f>'1.4Sõltuvad üksused'!D249+'1.2 Strateegia vorm KOV'!D20-'1.4Sõltuvad üksused'!D246</f>
        <v>0</v>
      </c>
      <c r="E6" s="215">
        <f>'1.4Sõltuvad üksused'!E249+'1.2 Strateegia vorm KOV'!E20-'1.4Sõltuvad üksused'!E246</f>
        <v>0</v>
      </c>
      <c r="F6" s="215">
        <f>'1.4Sõltuvad üksused'!F249+'1.2 Strateegia vorm KOV'!F20-'1.4Sõltuvad üksused'!F246</f>
        <v>0</v>
      </c>
      <c r="G6" s="215">
        <f>'1.4Sõltuvad üksused'!G249+'1.2 Strateegia vorm KOV'!G20-'1.4Sõltuvad üksused'!G246</f>
        <v>0</v>
      </c>
      <c r="H6" s="216">
        <f>'1.4Sõltuvad üksused'!H249+'1.2 Strateegia vorm KOV'!G20-'1.4Sõltuvad üksused'!H246</f>
        <v>0</v>
      </c>
      <c r="J6" s="225"/>
    </row>
    <row r="7" spans="1:11">
      <c r="A7" s="213" t="s">
        <v>368</v>
      </c>
      <c r="B7" s="215">
        <f t="shared" ref="B7:H7" si="0">B4-B5</f>
        <v>8495952.4199999869</v>
      </c>
      <c r="C7" s="215">
        <f t="shared" si="0"/>
        <v>4667840.549999997</v>
      </c>
      <c r="D7" s="215">
        <f t="shared" si="0"/>
        <v>6094350.7785000056</v>
      </c>
      <c r="E7" s="215">
        <f t="shared" si="0"/>
        <v>7248772.9895195067</v>
      </c>
      <c r="F7" s="215">
        <f t="shared" si="0"/>
        <v>8569089.702236563</v>
      </c>
      <c r="G7" s="215">
        <f t="shared" si="0"/>
        <v>10255975.533196911</v>
      </c>
      <c r="H7" s="216">
        <f t="shared" si="0"/>
        <v>10327951.994088694</v>
      </c>
      <c r="K7" s="212"/>
    </row>
    <row r="8" spans="1:11">
      <c r="A8" s="221" t="s">
        <v>304</v>
      </c>
      <c r="B8" s="215">
        <f>'1.2 Strateegia vorm KOV'!B23+'1.4Sõltuvad üksused'!B251-'1.2 Strateegia vorm KOV'!B32-'1.2 Strateegia vorm KOV'!B31</f>
        <v>-4889193.0200000014</v>
      </c>
      <c r="C8" s="215">
        <f>'1.2 Strateegia vorm KOV'!C23+'1.4Sõltuvad üksused'!C251-'1.2 Strateegia vorm KOV'!C32-'1.2 Strateegia vorm KOV'!C31</f>
        <v>-13778982.249999998</v>
      </c>
      <c r="D8" s="215">
        <f>'1.2 Strateegia vorm KOV'!D23+'1.4Sõltuvad üksused'!D251-'1.2 Strateegia vorm KOV'!D32-'1.2 Strateegia vorm KOV'!D31</f>
        <v>-7801095.4900000002</v>
      </c>
      <c r="E8" s="215">
        <f>'1.2 Strateegia vorm KOV'!E23+'1.4Sõltuvad üksused'!E251-'1.2 Strateegia vorm KOV'!E32-'1.2 Strateegia vorm KOV'!E31</f>
        <v>-7644883.8860000009</v>
      </c>
      <c r="F8" s="215">
        <f>'1.2 Strateegia vorm KOV'!F23+'1.4Sõltuvad üksused'!F251-'1.2 Strateegia vorm KOV'!F32-'1.2 Strateegia vorm KOV'!F31</f>
        <v>-7682223.7167500006</v>
      </c>
      <c r="G8" s="215">
        <f>'1.2 Strateegia vorm KOV'!G23+'1.4Sõltuvad üksused'!G251-'1.2 Strateegia vorm KOV'!G32-'1.2 Strateegia vorm KOV'!G31</f>
        <v>-8268951.1273999996</v>
      </c>
      <c r="H8" s="216">
        <f>'1.2 Strateegia vorm KOV'!G23+'1.4Sõltuvad üksused'!H251-'1.2 Strateegia vorm KOV'!G32-'1.2 Strateegia vorm KOV'!G31</f>
        <v>-8268746.1273999996</v>
      </c>
      <c r="J8" s="225"/>
      <c r="K8" s="212"/>
    </row>
    <row r="9" spans="1:11">
      <c r="A9" s="221" t="s">
        <v>316</v>
      </c>
      <c r="B9" s="215">
        <f t="shared" ref="B9:H9" si="1">B7+B8</f>
        <v>3606759.3999999855</v>
      </c>
      <c r="C9" s="215">
        <f t="shared" si="1"/>
        <v>-9111141.7000000011</v>
      </c>
      <c r="D9" s="215">
        <f t="shared" si="1"/>
        <v>-1706744.7114999946</v>
      </c>
      <c r="E9" s="215">
        <f t="shared" si="1"/>
        <v>-396110.89648049418</v>
      </c>
      <c r="F9" s="215">
        <f t="shared" si="1"/>
        <v>886865.98548656236</v>
      </c>
      <c r="G9" s="215">
        <f t="shared" si="1"/>
        <v>1987024.4057969116</v>
      </c>
      <c r="H9" s="216">
        <f t="shared" si="1"/>
        <v>2059205.8666886948</v>
      </c>
    </row>
    <row r="10" spans="1:11">
      <c r="A10" s="221" t="s">
        <v>317</v>
      </c>
      <c r="B10" s="215">
        <f>'1.2 Strateegia vorm KOV'!B36+'1.4Sõltuvad üksused'!B253+'1.2 Strateegia vorm KOV'!B32+'1.2 Strateegia vorm KOV'!B31</f>
        <v>-222879.37999999954</v>
      </c>
      <c r="C10" s="215">
        <f>'1.2 Strateegia vorm KOV'!C36+'1.4Sõltuvad üksused'!C253+'1.2 Strateegia vorm KOV'!C32+'1.2 Strateegia vorm KOV'!C31</f>
        <v>2229042.0299999998</v>
      </c>
      <c r="D10" s="215">
        <f>'1.2 Strateegia vorm KOV'!D36+'1.4Sõltuvad üksused'!D253+'1.2 Strateegia vorm KOV'!D32+'1.2 Strateegia vorm KOV'!D31</f>
        <v>1847077.8518981747</v>
      </c>
      <c r="E10" s="215">
        <f>'1.2 Strateegia vorm KOV'!E36+'1.4Sõltuvad üksused'!E253+'1.2 Strateegia vorm KOV'!E32+'1.2 Strateegia vorm KOV'!E31</f>
        <v>542345.96582907811</v>
      </c>
      <c r="F10" s="215">
        <f>'1.2 Strateegia vorm KOV'!F36+'1.4Sõltuvad üksused'!F253+'1.2 Strateegia vorm KOV'!F32+'1.2 Strateegia vorm KOV'!F31</f>
        <v>-567163.40000000037</v>
      </c>
      <c r="G10" s="215">
        <f>'1.2 Strateegia vorm KOV'!G36+'1.4Sõltuvad üksused'!G253+'1.2 Strateegia vorm KOV'!G32+'1.2 Strateegia vorm KOV'!G31</f>
        <v>-579158.58000000007</v>
      </c>
      <c r="H10" s="216">
        <f>'1.2 Strateegia vorm KOV'!G36+'1.4Sõltuvad üksused'!H253+'1.2 Strateegia vorm KOV'!G32+'1.2 Strateegia vorm KOV'!G31</f>
        <v>-579158.58000000007</v>
      </c>
      <c r="J10" s="225"/>
    </row>
    <row r="11" spans="1:11" ht="25.5">
      <c r="A11" s="236" t="s">
        <v>320</v>
      </c>
      <c r="B11" s="215">
        <f>'1.2 Strateegia vorm KOV'!B39+'1.4Sõltuvad üksused'!B254</f>
        <v>3516931.2399999895</v>
      </c>
      <c r="C11" s="215">
        <f>'1.2 Strateegia vorm KOV'!C39+'1.4Sõltuvad üksused'!C254</f>
        <v>-7220573</v>
      </c>
      <c r="D11" s="215">
        <f>'1.2 Strateegia vorm KOV'!D39+'1.4Sõltuvad üksused'!D254</f>
        <v>-40417.497851818713</v>
      </c>
      <c r="E11" s="215">
        <f>'1.2 Strateegia vorm KOV'!E39+'1.4Sõltuvad üksused'!E254</f>
        <v>-37777.092364152952</v>
      </c>
      <c r="F11" s="215">
        <f>'1.2 Strateegia vorm KOV'!F39+'1.4Sõltuvad üksused'!F254</f>
        <v>132164.60017756565</v>
      </c>
      <c r="G11" s="215">
        <f>'1.2 Strateegia vorm KOV'!G39+'1.4Sõltuvad üksused'!G254</f>
        <v>1216192.2196545782</v>
      </c>
      <c r="H11" s="216">
        <f>'1.2 Strateegia vorm KOV'!G39+'1.4Sõltuvad üksused'!H254</f>
        <v>1221707.1054015826</v>
      </c>
    </row>
    <row r="12" spans="1:11" ht="25.5">
      <c r="A12" s="236" t="s">
        <v>371</v>
      </c>
      <c r="B12" s="215">
        <f t="shared" ref="B12:H12" si="2">B11-B9-B10</f>
        <v>133051.22000000358</v>
      </c>
      <c r="C12" s="215">
        <f t="shared" si="2"/>
        <v>-338473.32999999868</v>
      </c>
      <c r="D12" s="215">
        <f t="shared" si="2"/>
        <v>-180750.63824999891</v>
      </c>
      <c r="E12" s="215">
        <f t="shared" si="2"/>
        <v>-184012.16171273688</v>
      </c>
      <c r="F12" s="215">
        <f t="shared" si="2"/>
        <v>-187537.9853089964</v>
      </c>
      <c r="G12" s="215">
        <f t="shared" si="2"/>
        <v>-191673.60614233324</v>
      </c>
      <c r="H12" s="216">
        <f t="shared" si="2"/>
        <v>-258340.18128711218</v>
      </c>
    </row>
    <row r="13" spans="1:11">
      <c r="A13" s="326"/>
      <c r="B13" s="327"/>
      <c r="C13" s="327"/>
      <c r="D13" s="327"/>
      <c r="E13" s="327"/>
      <c r="F13" s="327"/>
      <c r="G13" s="415"/>
      <c r="H13" s="324"/>
    </row>
    <row r="14" spans="1:11">
      <c r="A14" s="236" t="s">
        <v>322</v>
      </c>
      <c r="B14" s="215">
        <f>'1.2 Strateegia vorm KOV'!B42+'1.4Sõltuvad üksused'!B257</f>
        <v>8068708.235695105</v>
      </c>
      <c r="C14" s="243">
        <f>B14+C11</f>
        <v>848135.23569510505</v>
      </c>
      <c r="D14" s="243">
        <f>C14+D11</f>
        <v>807717.73784328636</v>
      </c>
      <c r="E14" s="243">
        <f>D14+E11</f>
        <v>769940.64547913335</v>
      </c>
      <c r="F14" s="243">
        <f>E14+F11</f>
        <v>902105.24565669894</v>
      </c>
      <c r="G14" s="243">
        <f>F14+G11</f>
        <v>2118297.4653112772</v>
      </c>
      <c r="H14" s="244">
        <f>F14+H11</f>
        <v>2123812.3510582815</v>
      </c>
    </row>
    <row r="15" spans="1:11">
      <c r="A15" s="245" t="s">
        <v>323</v>
      </c>
      <c r="B15" s="215">
        <f>'1.2 Strateegia vorm KOV'!B43+'1.4Sõltuvad üksused'!B258-'1.4Sõltuvad üksused'!B260-'1.4Sõltuvad üksused'!B261</f>
        <v>45653786.109999999</v>
      </c>
      <c r="C15" s="215">
        <f>'1.2 Strateegia vorm KOV'!C43+'1.4Sõltuvad üksused'!C258-'1.4Sõltuvad üksused'!C260-'1.4Sõltuvad üksused'!C261</f>
        <v>47912828.109999999</v>
      </c>
      <c r="D15" s="215">
        <f>'1.2 Strateegia vorm KOV'!D43+'1.4Sõltuvad üksused'!D258-'1.4Sõltuvad üksused'!D260-'1.4Sõltuvad üksused'!D261</f>
        <v>49759905.961898178</v>
      </c>
      <c r="E15" s="215">
        <f>'1.2 Strateegia vorm KOV'!E43+'1.4Sõltuvad üksused'!E258-'1.4Sõltuvad üksused'!E260-'1.4Sõltuvad üksused'!E261</f>
        <v>50302251.927727252</v>
      </c>
      <c r="F15" s="215">
        <f>'1.2 Strateegia vorm KOV'!F43+'1.4Sõltuvad üksused'!F258-'1.4Sõltuvad üksused'!F260-'1.4Sõltuvad üksused'!F261</f>
        <v>49735088.527727254</v>
      </c>
      <c r="G15" s="215">
        <f>'1.2 Strateegia vorm KOV'!G43+'1.4Sõltuvad üksused'!G258-'1.4Sõltuvad üksused'!G260-'1.4Sõltuvad üksused'!G261</f>
        <v>49155929.947727256</v>
      </c>
      <c r="H15" s="216">
        <f>'1.2 Strateegia vorm KOV'!G43+'1.4Sõltuvad üksused'!H258-'1.4Sõltuvad üksused'!H260-'1.4Sõltuvad üksused'!H261</f>
        <v>49155929.947727256</v>
      </c>
    </row>
    <row r="16" spans="1:11">
      <c r="A16" s="302" t="s">
        <v>372</v>
      </c>
      <c r="B16" s="206">
        <f>'1.2 Strateegia vorm KOV'!B44+'1.4Sõltuvad üksused'!B259</f>
        <v>0</v>
      </c>
      <c r="C16" s="206">
        <f>'1.2 Strateegia vorm KOV'!C44+'1.4Sõltuvad üksused'!C259</f>
        <v>0</v>
      </c>
      <c r="D16" s="206">
        <f>'1.2 Strateegia vorm KOV'!D44+'1.4Sõltuvad üksused'!D259</f>
        <v>0</v>
      </c>
      <c r="E16" s="206">
        <f>'1.2 Strateegia vorm KOV'!E44+'1.4Sõltuvad üksused'!E259</f>
        <v>0</v>
      </c>
      <c r="F16" s="206">
        <f>'1.2 Strateegia vorm KOV'!F44+'1.4Sõltuvad üksused'!F259</f>
        <v>0</v>
      </c>
      <c r="G16" s="206">
        <f>'1.2 Strateegia vorm KOV'!G44+'1.4Sõltuvad üksused'!G259</f>
        <v>0</v>
      </c>
      <c r="H16" s="207">
        <f>'1.2 Strateegia vorm KOV'!G44+'1.4Sõltuvad üksused'!H259</f>
        <v>0</v>
      </c>
    </row>
    <row r="17" spans="1:8">
      <c r="A17" s="236" t="s">
        <v>375</v>
      </c>
      <c r="B17" s="211">
        <f t="shared" ref="B17:H17" si="3">IF(B15-B14&lt;0,0,B15-B14)</f>
        <v>37585077.874304891</v>
      </c>
      <c r="C17" s="211">
        <f t="shared" si="3"/>
        <v>47064692.874304891</v>
      </c>
      <c r="D17" s="211">
        <f t="shared" si="3"/>
        <v>48952188.224054888</v>
      </c>
      <c r="E17" s="211">
        <f t="shared" si="3"/>
        <v>49532311.282248117</v>
      </c>
      <c r="F17" s="211">
        <f t="shared" si="3"/>
        <v>48832983.282070555</v>
      </c>
      <c r="G17" s="211">
        <f t="shared" si="3"/>
        <v>47037632.482415982</v>
      </c>
      <c r="H17" s="207">
        <f t="shared" si="3"/>
        <v>47032117.596668974</v>
      </c>
    </row>
    <row r="18" spans="1:8">
      <c r="A18" s="236" t="s">
        <v>281</v>
      </c>
      <c r="B18" s="251">
        <f t="shared" ref="B18:H18" si="4">B17/B4</f>
        <v>0.3954407331323318</v>
      </c>
      <c r="C18" s="251">
        <f t="shared" si="4"/>
        <v>0.49516374157106274</v>
      </c>
      <c r="D18" s="251">
        <f t="shared" si="4"/>
        <v>0.49333461122800487</v>
      </c>
      <c r="E18" s="251">
        <f t="shared" si="4"/>
        <v>0.48141249111012846</v>
      </c>
      <c r="F18" s="251">
        <f t="shared" si="4"/>
        <v>0.45735266648235845</v>
      </c>
      <c r="G18" s="251">
        <f t="shared" si="4"/>
        <v>0.42337991848385681</v>
      </c>
      <c r="H18" s="252">
        <f t="shared" si="4"/>
        <v>0.42301743657774288</v>
      </c>
    </row>
    <row r="19" spans="1:8">
      <c r="A19" s="236" t="s">
        <v>381</v>
      </c>
      <c r="B19" s="206">
        <f t="shared" ref="B19:H19" si="5">IF((B7+B6)*6&gt;B4,B4+B16,IF((B7+B6)*6&lt;0.6*B4,0.6*B4+B16,(B7+B6)*6+B16))</f>
        <v>57027627.239999995</v>
      </c>
      <c r="C19" s="206">
        <f t="shared" si="5"/>
        <v>57029247.809999995</v>
      </c>
      <c r="D19" s="206">
        <f t="shared" si="5"/>
        <v>59536290.918900006</v>
      </c>
      <c r="E19" s="206">
        <f t="shared" si="5"/>
        <v>61733725.896510296</v>
      </c>
      <c r="F19" s="206">
        <f t="shared" si="5"/>
        <v>64063887.928316079</v>
      </c>
      <c r="G19" s="206">
        <f t="shared" si="5"/>
        <v>66660175.075180605</v>
      </c>
      <c r="H19" s="207">
        <f t="shared" si="5"/>
        <v>66709473.695217758</v>
      </c>
    </row>
    <row r="20" spans="1:8">
      <c r="A20" s="236" t="s">
        <v>382</v>
      </c>
      <c r="B20" s="251">
        <f t="shared" ref="B20:H20" si="6">B19/B4</f>
        <v>0.6</v>
      </c>
      <c r="C20" s="251">
        <f t="shared" si="6"/>
        <v>0.6</v>
      </c>
      <c r="D20" s="251">
        <f t="shared" si="6"/>
        <v>0.6</v>
      </c>
      <c r="E20" s="251">
        <f t="shared" si="6"/>
        <v>0.6</v>
      </c>
      <c r="F20" s="251">
        <f t="shared" si="6"/>
        <v>0.6</v>
      </c>
      <c r="G20" s="251">
        <f t="shared" si="6"/>
        <v>0.6</v>
      </c>
      <c r="H20" s="252">
        <f t="shared" si="6"/>
        <v>0.6</v>
      </c>
    </row>
    <row r="21" spans="1:8">
      <c r="A21" s="308" t="s">
        <v>329</v>
      </c>
      <c r="B21" s="277">
        <f t="shared" ref="B21:H21" si="7">B19-B17</f>
        <v>19442549.365695104</v>
      </c>
      <c r="C21" s="277">
        <f t="shared" si="7"/>
        <v>9964554.9356951043</v>
      </c>
      <c r="D21" s="277">
        <f t="shared" si="7"/>
        <v>10584102.694845118</v>
      </c>
      <c r="E21" s="277">
        <f t="shared" si="7"/>
        <v>12201414.614262179</v>
      </c>
      <c r="F21" s="277">
        <f t="shared" si="7"/>
        <v>15230904.646245524</v>
      </c>
      <c r="G21" s="277">
        <f t="shared" si="7"/>
        <v>19622542.592764623</v>
      </c>
      <c r="H21" s="278">
        <f t="shared" si="7"/>
        <v>19677356.098548785</v>
      </c>
    </row>
    <row r="23" spans="1:8">
      <c r="B23" s="328"/>
      <c r="C23" s="328"/>
      <c r="D23" s="328"/>
      <c r="E23" s="328"/>
      <c r="F23" s="328"/>
      <c r="G23" s="328"/>
      <c r="H23" s="328"/>
    </row>
    <row r="24" spans="1:8">
      <c r="B24" s="328"/>
      <c r="C24" s="328"/>
      <c r="D24" s="328"/>
      <c r="E24" s="328"/>
      <c r="F24" s="328"/>
      <c r="G24" s="328"/>
      <c r="H24" s="328"/>
    </row>
  </sheetData>
  <sheetProtection selectLockedCells="1" selectUnlockedCells="1"/>
  <mergeCells count="1">
    <mergeCell ref="A1:H1"/>
  </mergeCells>
  <conditionalFormatting sqref="B21:H21">
    <cfRule type="cellIs" dxfId="0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 Eelarvearuanne 08.06.</vt:lpstr>
      <vt:lpstr>1.2 Strateegia vorm KOV</vt:lpstr>
      <vt:lpstr>1.3 Strateegia vorm valdkonniti</vt:lpstr>
      <vt:lpstr>1.4Sõltuvad üksused</vt:lpstr>
      <vt:lpstr>1.5. Arvestusüksus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Külli Lust</cp:lastModifiedBy>
  <cp:lastPrinted>2012-06-11T10:31:17Z</cp:lastPrinted>
  <dcterms:created xsi:type="dcterms:W3CDTF">2012-06-01T08:53:21Z</dcterms:created>
  <dcterms:modified xsi:type="dcterms:W3CDTF">2012-06-11T12:15:11Z</dcterms:modified>
</cp:coreProperties>
</file>