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60" windowWidth="18900" windowHeight="6885" activeTab="0"/>
  </bookViews>
  <sheets>
    <sheet name="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<sst xmlns="http://schemas.openxmlformats.org/spreadsheetml/2006/main" count="220" uniqueCount="155">
  <si>
    <t xml:space="preserve">1. RIIGIHANKE " Tartu tänavate aastaringne hooldus 2009-2011" </t>
  </si>
  <si>
    <t xml:space="preserve"> PIKAAJALISTE HOOLDUSLEPINGUTE MAHTUDE VÄHENDAMINE 2010. A .</t>
  </si>
  <si>
    <t>alusel sõlmitud lepingutes talve ja suveperioodi töömahtude vähendamine 2010.aastaks</t>
  </si>
  <si>
    <t>Leping  P-106, töövõtja AS Veolia Keskkonnateenused (end.nimi AS Cleanaway)</t>
  </si>
  <si>
    <t>Objekt, tööliik</t>
  </si>
  <si>
    <t>Hooldusnõuete muutus</t>
  </si>
  <si>
    <t>Muutuse maht (m²)</t>
  </si>
  <si>
    <t>2010.a hoolduse RH lepinguline hind (kr) (KM-ta)</t>
  </si>
  <si>
    <t>2010.a uus lepingu hind (kr) arvestades uusi nõudeid 2010 (KM-ta)</t>
  </si>
  <si>
    <t>Sääst  (kr) KM-ta</t>
  </si>
  <si>
    <t>2010.a hoolduse RH lepinguline hind (kr) (KM-ga)</t>
  </si>
  <si>
    <t>Sääst  (kr) KM-ga</t>
  </si>
  <si>
    <t>Idapiirkond</t>
  </si>
  <si>
    <t>Talv</t>
  </si>
  <si>
    <t>Sõiduteede ohtlikud kohad (tõusud, sillad)</t>
  </si>
  <si>
    <t>Pikendada libedustõrje aega 30 minutilt 1,0 tunnile</t>
  </si>
  <si>
    <t>Parklad</t>
  </si>
  <si>
    <t>Lumetõrje linna tellimisel, etteteatamisega 8 tundi, teostus 23- 6.00 ajal</t>
  </si>
  <si>
    <t>Sõiduteed</t>
  </si>
  <si>
    <t>loobuda talveperioodil tänavate puhastamisest lumeta ajal</t>
  </si>
  <si>
    <t>Üldnõue</t>
  </si>
  <si>
    <t>Suvi</t>
  </si>
  <si>
    <t>rentsliga sõiduteed</t>
  </si>
  <si>
    <t>Puhastatakse iga päeva asemel 3x nädalas</t>
  </si>
  <si>
    <t>Puhastatakse 3x nädalas asemel 1x nädalas</t>
  </si>
  <si>
    <t>Puhastatakse 1x nädalas asemel 1x kuus</t>
  </si>
  <si>
    <t>kõnniteed</t>
  </si>
  <si>
    <t>parklad</t>
  </si>
  <si>
    <t>Puhastatakse iga päeva asemel 2x nädalas</t>
  </si>
  <si>
    <t>spets koristus</t>
  </si>
  <si>
    <t>kastmine</t>
  </si>
  <si>
    <t>kokku</t>
  </si>
  <si>
    <t>aasta kokku:</t>
  </si>
  <si>
    <t>Lumevedu</t>
  </si>
  <si>
    <t xml:space="preserve">Muuta planeeritud lumeveo mahtu 2010.aastal 3000 m3-lt 0 m3-ni </t>
  </si>
  <si>
    <t>2010.a uus lepingu hind (kr) arvestades uusi nõudeid 2010 (KM-ga)</t>
  </si>
  <si>
    <t>Loobuda kloriidilisandi Eco Thaw kasutamisest libedustõrjel 4 seisunditaseme tänavatel</t>
  </si>
  <si>
    <t>Libedustõrje linna tellimisel, etteteatamisega 8 tundi, teostus 23-6.00 ajal</t>
  </si>
  <si>
    <t>Kõnniteed</t>
  </si>
  <si>
    <r>
      <t>Tänavate 4. talihoolde seisunditase muuta 3.-ks</t>
    </r>
    <r>
      <rPr>
        <b/>
        <sz val="8"/>
        <color indexed="10"/>
        <rFont val="Arial"/>
        <family val="2"/>
      </rPr>
      <t>*</t>
    </r>
  </si>
  <si>
    <t>*Majandus- ja komunikatsiooniministri 17.12.2002.a määruse nr 45 nõuete eiramine - ei tagata põhitänavatel 4. seisunditaseme talihooldust.</t>
  </si>
  <si>
    <t>2010. A hoolduse RH lepinguline hind (kr) (käibemaksuga)</t>
  </si>
  <si>
    <t>2010. A uus lepingu hind (kr) arvestades uusi nõudeid (käibemaksuga)</t>
  </si>
  <si>
    <t>Sääst  (kr) käibemaksuga</t>
  </si>
  <si>
    <t>Läänepiirkond</t>
  </si>
  <si>
    <t xml:space="preserve">Vähendada planeeritud lumeveo mahtu 2009.aastal 7000m3-lt  2000 m3-ni </t>
  </si>
  <si>
    <t xml:space="preserve"> </t>
  </si>
  <si>
    <t>Rentsliga sõiduteed</t>
  </si>
  <si>
    <t>Puhastatakse iga päev - maht väheneb 30,3%</t>
  </si>
  <si>
    <t>Puhastatakse 3x nädalas - maht väheneb 91,7%</t>
  </si>
  <si>
    <t>Puhastatakse 1x nädalas- maht suureneb 62,3%</t>
  </si>
  <si>
    <t>Puhastatakse 1x kuus- maht suureneb 2,5 korda</t>
  </si>
  <si>
    <t>Kastmine</t>
  </si>
  <si>
    <t xml:space="preserve">Leping P -107, töövõtja Tänavapuhastuse AS </t>
  </si>
  <si>
    <t>Aardla</t>
  </si>
  <si>
    <t>Võru-Turu</t>
  </si>
  <si>
    <t>Tähe-Turu</t>
  </si>
  <si>
    <t>Riia- Ringtee</t>
  </si>
  <si>
    <t>Paju- Nõlvaku</t>
  </si>
  <si>
    <t>Kalda tee</t>
  </si>
  <si>
    <t>Mõisavahe-Sõpruse pst.</t>
  </si>
  <si>
    <t>Nõlvaku-Narva mnt.</t>
  </si>
  <si>
    <t>Puiestee-Linna piir</t>
  </si>
  <si>
    <t>lõik</t>
  </si>
  <si>
    <r>
      <t>pindala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</si>
  <si>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tänav</t>
  </si>
  <si>
    <t>Riia- linna piir</t>
  </si>
  <si>
    <t>Mõisavahe-Jaama</t>
  </si>
  <si>
    <t>Jaama-Oksa tn ringini (k.a)</t>
  </si>
  <si>
    <t xml:space="preserve">Turu </t>
  </si>
  <si>
    <t>TURU bussipeatus Aleksandri 2 ees</t>
  </si>
  <si>
    <t>loobuda  lepingujärgsest GPS seadmete paigaldusest hooldusautodele</t>
  </si>
  <si>
    <t>Kasta veega 4x asemel 3x päevas tööpäevadel kl 8-17 ja loobuda lepingus ette nähtud Dustexi lisandi kasutamisest</t>
  </si>
  <si>
    <t>Võru-Riia</t>
  </si>
  <si>
    <t>Riia-Tuglase</t>
  </si>
  <si>
    <t>Tuglase</t>
  </si>
  <si>
    <t>Kreutzwaldi-Vaksali</t>
  </si>
  <si>
    <t>Kreutzwaldi</t>
  </si>
  <si>
    <t>Laulupeo pst- bussipeatus VORBUSE TEE</t>
  </si>
  <si>
    <t>Vabaduse pst</t>
  </si>
  <si>
    <t>Riia-Lai</t>
  </si>
  <si>
    <t xml:space="preserve">Vene </t>
  </si>
  <si>
    <t>Ujula-Narva mnt</t>
  </si>
  <si>
    <t>Ujula</t>
  </si>
  <si>
    <t>Narva-Vene</t>
  </si>
  <si>
    <t>Emajõe</t>
  </si>
  <si>
    <t>Lai-Kroonuaia</t>
  </si>
  <si>
    <t>Kroonuaia</t>
  </si>
  <si>
    <t>Jakobi-Emajõe</t>
  </si>
  <si>
    <t>Narva mnt.*</t>
  </si>
  <si>
    <t>Põhja pst*</t>
  </si>
  <si>
    <t>Ringtee*</t>
  </si>
  <si>
    <t>Võru*</t>
  </si>
  <si>
    <t>Turu*</t>
  </si>
  <si>
    <t>Loobuda kloriidilisandi Eco Thaw kasutamisest libedustõrjel 3 seisunditaseme tänavatel</t>
  </si>
  <si>
    <t>Nõlvaku*</t>
  </si>
  <si>
    <t>"Võidu" silla Narva mnt poolne piir -Akadeemia</t>
  </si>
  <si>
    <t>Jaama-Kalda tee</t>
  </si>
  <si>
    <t>Kalda tee-Kalevi (+ maha ning pealesõiduteed)</t>
  </si>
  <si>
    <t>Sõpruse pst*</t>
  </si>
  <si>
    <t>Riia*</t>
  </si>
  <si>
    <t>Ropka tee</t>
  </si>
  <si>
    <t>Jaama</t>
  </si>
  <si>
    <t>Puiestee</t>
  </si>
  <si>
    <t>Kõik täna 4. talihoolduse sesunditasemega tänavad millede seisunditaset on ettepanek kaaluda muuta 3. :</t>
  </si>
  <si>
    <t xml:space="preserve">kõnniteede hooldus 3 tunni asemel 6 tundi </t>
  </si>
  <si>
    <t>Jakobi</t>
  </si>
  <si>
    <t>Kroonuaia-Laulupeo pst</t>
  </si>
  <si>
    <t>Lai</t>
  </si>
  <si>
    <t>Jakobi-Vabaduse pst</t>
  </si>
  <si>
    <t>Akadeemia-Ringtee</t>
  </si>
  <si>
    <t>Vaksali*</t>
  </si>
  <si>
    <r>
      <t>Tänavate 4. talihoolde seisunditase muuta 3.-ks</t>
    </r>
    <r>
      <rPr>
        <b/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>(Eco Thaw-ta)</t>
    </r>
  </si>
  <si>
    <t>2010. A uus lepingu hind (kr) arvestades uusi nõudeid jaan.-aprill 2010 (käibemaksuga)</t>
  </si>
  <si>
    <t>1. Piirkond - Emajõe ja Riia tn piirneval, Riia tn-st loodesse jääval alal</t>
  </si>
  <si>
    <r>
      <t>8 % kõrvaltänavaid läheb püsihoolduselt välja, 12 tunnise etteteatamisega tellimisel hooldusele, hoolduse teostus toimuks tellitud tööde algusajast hiljemalt 12 h jooksul</t>
    </r>
    <r>
      <rPr>
        <sz val="10"/>
        <color indexed="10"/>
        <rFont val="Arial"/>
        <family val="2"/>
      </rPr>
      <t>*</t>
    </r>
  </si>
  <si>
    <t xml:space="preserve">2. Piirkond - Riia tn ja Petseri raudtee vahelisel alal </t>
  </si>
  <si>
    <t xml:space="preserve">3. Piirkond - Petseri raudtee, Riia tn ja Emajõe vahelisel alal </t>
  </si>
  <si>
    <t>7 % kõrvaltänavaid läheb püsihoolduselt välja, 12 tunnise etteteatamisega tellimisel hooldusele, hoolduse teostus toimuks tellitud tööde algusajast hiljemalt 12 h jooksul*</t>
  </si>
  <si>
    <t>4. Piirkond - Emajõega, Ihaste põik-, Lammi- ja Mõisavahe tänavatega piirneval, tänavatest kagusse jääval alal</t>
  </si>
  <si>
    <r>
      <t>45%  kõrvaltänavaid (Vana Ihaste) hooldatakse 24 tunni jooksul</t>
    </r>
    <r>
      <rPr>
        <sz val="10"/>
        <color indexed="10"/>
        <rFont val="Arial"/>
        <family val="2"/>
      </rPr>
      <t>*</t>
    </r>
  </si>
  <si>
    <t xml:space="preserve">2. RIIGIHANKE " Kõrvaltänavate hooldus Tartu linnas" </t>
  </si>
  <si>
    <t>alusel sõlmitud lepingutes  töömahtude vähendamine:</t>
  </si>
  <si>
    <t>Leping P-098, töövõtja Teho Eesti Teehooldus OÜ</t>
  </si>
  <si>
    <t>Leping P-097, töövõtja AS Bron Teenindus</t>
  </si>
  <si>
    <t>2009. A hoolduse RH lepinguline hind (kr) (käibemaksuga)</t>
  </si>
  <si>
    <t>2009. A uus lepingu hind (kr) arvestades uusi nõudeid märts-dets 2009 (käibemaksuga)</t>
  </si>
  <si>
    <t>5. Piirkond - Emajõega, Ihaste põik-, Lammi- ja Mõisavahe tänavatega piirneval, tänavatest loodesse jääval alal</t>
  </si>
  <si>
    <t>kõrvaltänavate talihoolduselt kokku:</t>
  </si>
  <si>
    <r>
      <t>27 % kõrvaltänavaid läheb püsihoolduselt välja, 12 tunnise etteteatamisega tellimisel hooldusele, hoolduse teostus toimuks tellimisest hiljemalt 12 h jooksul</t>
    </r>
    <r>
      <rPr>
        <sz val="10"/>
        <color indexed="10"/>
        <rFont val="Arial"/>
        <family val="2"/>
      </rPr>
      <t>*</t>
    </r>
  </si>
  <si>
    <r>
      <t>7 % kõrvaltänavaid läheb püsihoolduselt välja, 12 tunnise etteteatamisega tellimisel hooldusele, hoolduse teostus toimuks tellitud tööde algusajast hiljemalt 12 h jooksul</t>
    </r>
    <r>
      <rPr>
        <sz val="10"/>
        <color indexed="10"/>
        <rFont val="Arial"/>
        <family val="2"/>
      </rPr>
      <t>*</t>
    </r>
  </si>
  <si>
    <r>
      <t>9 % kõrvaltänavaid läheb püsihoolduselt välja, 12 tunnise etteteatamisega tellimisel hooldusele, hoolduse teostus toimuks tellitud tööde algusajast hiljemalt 12 h jooksul</t>
    </r>
    <r>
      <rPr>
        <sz val="10"/>
        <color indexed="10"/>
        <rFont val="Arial"/>
        <family val="2"/>
      </rPr>
      <t>*</t>
    </r>
  </si>
  <si>
    <t>*Majandus- ja komunikatsiooniministri 17.12.2002.a määruse nr 45 nõuete eiramine - ei tagata kõrvaltänavatel 2. seisunditaseme talihooldust 12 tunni jooksul.</t>
  </si>
  <si>
    <t>3. RIIGIHANKE "Prügiurnide hooldus 2009-2011"</t>
  </si>
  <si>
    <t>Leping PR-062, töövõtja AS Cleanaway</t>
  </si>
  <si>
    <t>Leping PR-061, töövõtja  Elva Kommunaal Grupp OÜ</t>
  </si>
  <si>
    <t>2010. A uus lepingu hind (kr) arvestades uusi nõudeid jaanuar-dets 2010 (käibemaksuga)</t>
  </si>
  <si>
    <t>1. Piirkond - Toomemägi, Kesklinn</t>
  </si>
  <si>
    <t xml:space="preserve">Lepingust jääb välja: 1. nõue, mille kohaselt ei tohi olla värvitoonis ja läikes silmaga nähtavaid erinevusi.   2. nõue asendada taastamiskõlbmatu  või kadunud urn uuega. Lubatakse urn asendada samast piirkonnast teise uriga  ümberpaigutuse korras, kooskõlastatult Tellijaga . Lepingu rikkumiseks ei loeta urni mõlke suurusega  2cm  ning  värvikahjustusi kuni 5 cm ava suudme ümbrusest. </t>
  </si>
  <si>
    <t>2010. A uus lepingu hind (kr) arvestades uusi nõudeid märts-dets 2009 (käibemaksuga)</t>
  </si>
  <si>
    <t>2. Piirkond - Kesklinn, Supilinn, Tähtvere, Vaksali</t>
  </si>
  <si>
    <t>Lepingust jääb välja: 1. nõue, mille kohaselt ei tohi olla värvitoonis ja läikes silmaga nähtavaid erinevusi.   2. nõue asendada taastamiskõlbmatu  või kadunud urn uuega. Lubatakse urn asendada samast piirkonnast teise uriga  ümberpaigutuse korras, kooskõlastatult Tellijaga.  3 nõue, mille kohaselt ei tohi olla mõlke suurusega alla 2cm. 4 nõue, mille kohaselt ei tohi olla prügiurni suu ümber kuni 5 cm kaugusel värvikahjustusi. 5 nõue, mille kohaselt ei tohi olla roostet urni all osas kuni 2 cm.</t>
  </si>
  <si>
    <t>3. Piirkond - Veeriku, Maarjamõisa, Tammelinn, Variku, Ropka, Karlova</t>
  </si>
  <si>
    <t>4. Piirkond - Ülejõe, Raadi, Jaamamõisa, Annelinn, Ihaste</t>
  </si>
  <si>
    <t>kokku:</t>
  </si>
  <si>
    <t xml:space="preserve">prügiurnide hoolduselt kokku: </t>
  </si>
  <si>
    <t xml:space="preserve">Arvestades kuni 2010 aasta 30. augustini  sõlmitud pikaajalise lepingu tingimusi, oli taoline kokkulepe vähekasutatavate tupik- ja kõrvaltänavate osas </t>
  </si>
  <si>
    <t>ainus võimalus kokku hoida.</t>
  </si>
  <si>
    <t>hädavajadusel operatiivselt tellida linnapuhastuse reservi arvelt.</t>
  </si>
  <si>
    <t>Püsihoolduselt välja</t>
  </si>
  <si>
    <t>Tellimine 1x :</t>
  </si>
  <si>
    <t>Tellimine 1x:</t>
  </si>
  <si>
    <t xml:space="preserve">Püsihoolduselt välja jäänud kõrvaltänavate 1 kordne ühikhindadega tellimisel hooldus makasb 65 tuhat kr, ja seda oleks võimalik </t>
  </si>
  <si>
    <t xml:space="preserve">Vähendada planeeritud kastmismahtu Dusteksi lisandiga 2010.aastal 216,6-lt kkm-lt  120 kkm-ni </t>
  </si>
  <si>
    <r>
      <t>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O)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</si>
</sst>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8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3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 wrapText="1"/>
    </xf>
    <xf numFmtId="3" fontId="0" fillId="0" borderId="5" xfId="0" applyNumberFormat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Fill="1" applyBorder="1" applyAlignment="1">
      <alignment wrapText="1"/>
    </xf>
    <xf numFmtId="3" fontId="0" fillId="0" borderId="7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6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3" fontId="0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4" fillId="0" borderId="6" xfId="0" applyFont="1" applyFill="1" applyBorder="1" applyAlignment="1">
      <alignment wrapText="1"/>
    </xf>
    <xf numFmtId="3" fontId="0" fillId="0" borderId="9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3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0" fillId="0" borderId="6" xfId="0" applyNumberFormat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vertical="top"/>
    </xf>
    <xf numFmtId="0" fontId="5" fillId="0" borderId="5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0" fontId="6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2" fillId="0" borderId="14" xfId="0" applyFont="1" applyFill="1" applyAlignment="1">
      <alignment horizontal="left"/>
    </xf>
    <xf numFmtId="3" fontId="0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7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21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top" wrapText="1"/>
    </xf>
    <xf numFmtId="4" fontId="0" fillId="0" borderId="5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1" fontId="0" fillId="0" borderId="23" xfId="0" applyNumberFormat="1" applyFill="1" applyBorder="1" applyAlignment="1">
      <alignment/>
    </xf>
    <xf numFmtId="3" fontId="7" fillId="0" borderId="0" xfId="0" applyNumberFormat="1" applyFont="1" applyAlignment="1">
      <alignment/>
    </xf>
    <xf numFmtId="0" fontId="3" fillId="0" borderId="5" xfId="0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9" fontId="0" fillId="0" borderId="7" xfId="19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3" fontId="0" fillId="3" borderId="5" xfId="0" applyNumberFormat="1" applyFont="1" applyFill="1" applyBorder="1" applyAlignment="1">
      <alignment horizontal="right"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6" xfId="0" applyNumberFormat="1" applyFill="1" applyBorder="1" applyAlignment="1">
      <alignment wrapText="1"/>
    </xf>
    <xf numFmtId="3" fontId="0" fillId="0" borderId="7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57">
      <selection activeCell="H77" sqref="H77"/>
    </sheetView>
  </sheetViews>
  <sheetFormatPr defaultColWidth="9.140625" defaultRowHeight="12.75"/>
  <cols>
    <col min="1" max="1" width="23.7109375" style="0" customWidth="1"/>
    <col min="2" max="2" width="48.8515625" style="0" customWidth="1"/>
    <col min="4" max="5" width="11.7109375" style="0" bestFit="1" customWidth="1"/>
    <col min="6" max="6" width="10.140625" style="0" bestFit="1" customWidth="1"/>
  </cols>
  <sheetData>
    <row r="1" ht="15.75">
      <c r="A1" s="3" t="s">
        <v>1</v>
      </c>
    </row>
    <row r="2" ht="15.75">
      <c r="A2" s="3"/>
    </row>
    <row r="3" ht="15.75">
      <c r="A3" s="3" t="s">
        <v>0</v>
      </c>
    </row>
    <row r="4" ht="15.75">
      <c r="A4" s="2" t="s">
        <v>2</v>
      </c>
    </row>
    <row r="6" ht="15">
      <c r="A6" s="1" t="s">
        <v>3</v>
      </c>
    </row>
    <row r="7" ht="13.5" thickBot="1"/>
    <row r="8" spans="1:9" ht="115.5" thickBot="1">
      <c r="A8" s="5" t="s">
        <v>4</v>
      </c>
      <c r="B8" s="6" t="s">
        <v>5</v>
      </c>
      <c r="C8" s="7" t="s">
        <v>6</v>
      </c>
      <c r="D8" s="6" t="s">
        <v>7</v>
      </c>
      <c r="E8" s="6" t="s">
        <v>8</v>
      </c>
      <c r="F8" s="8" t="s">
        <v>9</v>
      </c>
      <c r="G8" s="6" t="s">
        <v>10</v>
      </c>
      <c r="H8" s="6" t="s">
        <v>35</v>
      </c>
      <c r="I8" s="8" t="s">
        <v>11</v>
      </c>
    </row>
    <row r="9" spans="1:9" ht="15.75">
      <c r="A9" s="9" t="s">
        <v>12</v>
      </c>
      <c r="B9" s="10" t="s">
        <v>13</v>
      </c>
      <c r="C9" s="11"/>
      <c r="D9" s="11"/>
      <c r="E9" s="11"/>
      <c r="F9" s="12"/>
      <c r="G9" s="11"/>
      <c r="H9" s="11"/>
      <c r="I9" s="12"/>
    </row>
    <row r="10" spans="1:9" ht="22.5">
      <c r="A10" s="13" t="s">
        <v>14</v>
      </c>
      <c r="B10" s="13" t="s">
        <v>15</v>
      </c>
      <c r="C10" s="14">
        <v>43236</v>
      </c>
      <c r="D10" s="15">
        <f aca="true" t="shared" si="0" ref="D10:F11">G10/1.2</f>
        <v>662061.42</v>
      </c>
      <c r="E10" s="15">
        <f t="shared" si="0"/>
        <v>645933.0866666667</v>
      </c>
      <c r="F10" s="15">
        <f t="shared" si="0"/>
        <v>16128.333333333334</v>
      </c>
      <c r="G10" s="17">
        <f>673282.8*1.18</f>
        <v>794473.704</v>
      </c>
      <c r="H10" s="15">
        <f>G10-I10</f>
        <v>775119.704</v>
      </c>
      <c r="I10" s="18">
        <v>19354</v>
      </c>
    </row>
    <row r="11" spans="1:9" ht="22.5">
      <c r="A11" s="13" t="s">
        <v>16</v>
      </c>
      <c r="B11" s="13" t="s">
        <v>17</v>
      </c>
      <c r="C11" s="18">
        <v>38892</v>
      </c>
      <c r="D11" s="156">
        <f t="shared" si="0"/>
        <v>558359.48</v>
      </c>
      <c r="E11" s="158">
        <f t="shared" si="0"/>
        <v>537299.48</v>
      </c>
      <c r="F11" s="15">
        <f t="shared" si="0"/>
        <v>16141.666666666668</v>
      </c>
      <c r="G11" s="156">
        <f>567823.2*1.18</f>
        <v>670031.3759999999</v>
      </c>
      <c r="H11" s="156">
        <f>G11-I11-I12</f>
        <v>644759.3759999999</v>
      </c>
      <c r="I11" s="18">
        <v>19370</v>
      </c>
    </row>
    <row r="12" spans="1:9" ht="22.5">
      <c r="A12" s="13" t="s">
        <v>16</v>
      </c>
      <c r="B12" s="13" t="s">
        <v>37</v>
      </c>
      <c r="C12" s="18">
        <v>38892</v>
      </c>
      <c r="D12" s="157"/>
      <c r="E12" s="159"/>
      <c r="F12" s="15">
        <f aca="true" t="shared" si="1" ref="F12:F19">I12/1.2</f>
        <v>4918.333333333334</v>
      </c>
      <c r="G12" s="157"/>
      <c r="H12" s="157"/>
      <c r="I12" s="18">
        <v>5902</v>
      </c>
    </row>
    <row r="13" spans="1:9" ht="22.5">
      <c r="A13" s="13" t="s">
        <v>18</v>
      </c>
      <c r="B13" s="13" t="s">
        <v>36</v>
      </c>
      <c r="C13" s="18">
        <v>273351</v>
      </c>
      <c r="D13" s="15">
        <f>G13/1.2</f>
        <v>2486355.1375</v>
      </c>
      <c r="E13" s="15">
        <f>H13/1.2</f>
        <v>2431685.1375</v>
      </c>
      <c r="F13" s="15">
        <f t="shared" si="1"/>
        <v>54670</v>
      </c>
      <c r="G13" s="15">
        <f>2528496.75*1.18</f>
        <v>2983626.165</v>
      </c>
      <c r="H13" s="15">
        <f>G13-I13</f>
        <v>2918022.165</v>
      </c>
      <c r="I13" s="18">
        <v>65604</v>
      </c>
    </row>
    <row r="14" spans="1:9" ht="12.75">
      <c r="A14" s="13" t="s">
        <v>18</v>
      </c>
      <c r="B14" s="13" t="s">
        <v>19</v>
      </c>
      <c r="C14" s="18">
        <v>546268</v>
      </c>
      <c r="D14" s="15">
        <f>G14/1.2</f>
        <v>241723.59000000003</v>
      </c>
      <c r="E14" s="15">
        <f>H14/1.2</f>
        <v>182297.75666666668</v>
      </c>
      <c r="F14" s="15">
        <f t="shared" si="1"/>
        <v>59425.833333333336</v>
      </c>
      <c r="G14" s="15">
        <f>245820.6*1.18</f>
        <v>290068.308</v>
      </c>
      <c r="H14" s="15">
        <f>G14-I14</f>
        <v>218757.30800000002</v>
      </c>
      <c r="I14" s="18">
        <v>71311</v>
      </c>
    </row>
    <row r="15" spans="1:9" ht="22.5">
      <c r="A15" s="13" t="s">
        <v>20</v>
      </c>
      <c r="B15" s="13" t="s">
        <v>71</v>
      </c>
      <c r="C15" s="22"/>
      <c r="D15" s="15"/>
      <c r="E15" s="21"/>
      <c r="F15" s="15">
        <f t="shared" si="1"/>
        <v>44800</v>
      </c>
      <c r="G15" s="20"/>
      <c r="H15" s="21"/>
      <c r="I15" s="18">
        <v>53760</v>
      </c>
    </row>
    <row r="16" spans="1:10" ht="12.75">
      <c r="A16" s="38" t="s">
        <v>33</v>
      </c>
      <c r="B16" s="38" t="s">
        <v>34</v>
      </c>
      <c r="C16" s="104"/>
      <c r="D16" s="19">
        <f aca="true" t="shared" si="2" ref="D16:E19">G16/1.2</f>
        <v>142190</v>
      </c>
      <c r="E16" s="19">
        <f t="shared" si="2"/>
        <v>0</v>
      </c>
      <c r="F16" s="19">
        <f t="shared" si="1"/>
        <v>142190</v>
      </c>
      <c r="G16" s="39">
        <f>144600*1.18</f>
        <v>170628</v>
      </c>
      <c r="H16" s="19">
        <f>G16-I16</f>
        <v>0</v>
      </c>
      <c r="I16" s="105">
        <v>170628</v>
      </c>
      <c r="J16" s="4"/>
    </row>
    <row r="17" spans="1:9" ht="12.75">
      <c r="A17" s="43" t="s">
        <v>38</v>
      </c>
      <c r="B17" s="38" t="s">
        <v>105</v>
      </c>
      <c r="C17" s="44">
        <v>42685</v>
      </c>
      <c r="D17" s="19">
        <f t="shared" si="2"/>
        <v>1573835.2266666666</v>
      </c>
      <c r="E17" s="19">
        <f t="shared" si="2"/>
        <v>1424459.3933333333</v>
      </c>
      <c r="F17" s="19">
        <f t="shared" si="1"/>
        <v>149375.83333333334</v>
      </c>
      <c r="G17" s="39">
        <f>1600510.4*1.18</f>
        <v>1888602.2719999999</v>
      </c>
      <c r="H17" s="19">
        <f>G17-I17</f>
        <v>1709351.2719999999</v>
      </c>
      <c r="I17" s="103">
        <v>179251</v>
      </c>
    </row>
    <row r="18" spans="1:9" ht="22.5">
      <c r="A18" s="42" t="s">
        <v>18</v>
      </c>
      <c r="B18" s="42" t="s">
        <v>94</v>
      </c>
      <c r="C18" s="22">
        <v>267088</v>
      </c>
      <c r="D18" s="15">
        <f t="shared" si="2"/>
        <v>2376860.6266666665</v>
      </c>
      <c r="E18" s="15">
        <f t="shared" si="2"/>
        <v>2323443.1266666665</v>
      </c>
      <c r="F18" s="15">
        <f t="shared" si="1"/>
        <v>53417.5</v>
      </c>
      <c r="G18" s="20">
        <f>2417146.4*1.18</f>
        <v>2852232.752</v>
      </c>
      <c r="H18" s="15">
        <f>G18-I18</f>
        <v>2788131.752</v>
      </c>
      <c r="I18" s="36">
        <v>64101</v>
      </c>
    </row>
    <row r="19" spans="1:9" ht="12.75">
      <c r="A19" s="42" t="s">
        <v>18</v>
      </c>
      <c r="B19" s="42" t="s">
        <v>39</v>
      </c>
      <c r="C19" s="22">
        <v>273351</v>
      </c>
      <c r="D19" s="15">
        <f t="shared" si="2"/>
        <v>2486355.1375</v>
      </c>
      <c r="E19" s="15">
        <f t="shared" si="2"/>
        <v>2246606.8041666667</v>
      </c>
      <c r="F19" s="15">
        <f t="shared" si="1"/>
        <v>239748.33333333334</v>
      </c>
      <c r="G19" s="20">
        <f>2528496.75*1.18</f>
        <v>2983626.165</v>
      </c>
      <c r="H19" s="15">
        <f>G19-I19</f>
        <v>2695928.165</v>
      </c>
      <c r="I19" s="36">
        <v>287698</v>
      </c>
    </row>
    <row r="20" spans="2:9" ht="12.75">
      <c r="B20" s="23"/>
      <c r="C20" s="40"/>
      <c r="D20" s="4"/>
      <c r="E20" s="4"/>
      <c r="F20" s="41">
        <f>SUM(F10:F19)</f>
        <v>780815.8333333334</v>
      </c>
      <c r="G20" s="4"/>
      <c r="H20" s="4"/>
      <c r="I20" s="41">
        <f>SUM(I10:I19)</f>
        <v>936979</v>
      </c>
    </row>
    <row r="21" spans="1:8" ht="15.75">
      <c r="A21" s="9" t="s">
        <v>12</v>
      </c>
      <c r="B21" s="24" t="s">
        <v>21</v>
      </c>
      <c r="C21" s="25"/>
      <c r="D21" s="4"/>
      <c r="E21" s="4"/>
      <c r="F21" s="4"/>
      <c r="G21" s="4"/>
      <c r="H21" s="4"/>
    </row>
    <row r="22" spans="1:9" ht="12.75">
      <c r="A22" s="13" t="s">
        <v>22</v>
      </c>
      <c r="B22" s="13" t="s">
        <v>23</v>
      </c>
      <c r="C22" s="18">
        <v>120676</v>
      </c>
      <c r="D22" s="15">
        <f aca="true" t="shared" si="3" ref="D22:F28">G22/1.2</f>
        <v>1403803.7953333333</v>
      </c>
      <c r="E22" s="15">
        <f t="shared" si="3"/>
        <v>1255097.1286666668</v>
      </c>
      <c r="F22" s="15">
        <f t="shared" si="3"/>
        <v>148706.6666666667</v>
      </c>
      <c r="G22" s="15">
        <f>1427597.08*1.18</f>
        <v>1684564.5544</v>
      </c>
      <c r="H22" s="15">
        <f aca="true" t="shared" si="4" ref="H22:H28">G22-I22</f>
        <v>1506116.5544</v>
      </c>
      <c r="I22" s="18">
        <v>178448</v>
      </c>
    </row>
    <row r="23" spans="1:9" ht="12.75">
      <c r="A23" s="13" t="s">
        <v>22</v>
      </c>
      <c r="B23" s="13" t="s">
        <v>24</v>
      </c>
      <c r="C23" s="26">
        <v>258589</v>
      </c>
      <c r="D23" s="15">
        <f t="shared" si="3"/>
        <v>1584159.3121666666</v>
      </c>
      <c r="E23" s="15">
        <f t="shared" si="3"/>
        <v>1363659.3121666666</v>
      </c>
      <c r="F23" s="15">
        <f t="shared" si="3"/>
        <v>220500</v>
      </c>
      <c r="G23" s="15">
        <f>1611009.47*1.18</f>
        <v>1900991.1745999998</v>
      </c>
      <c r="H23" s="15">
        <f t="shared" si="4"/>
        <v>1636391.1745999998</v>
      </c>
      <c r="I23" s="18">
        <v>264600</v>
      </c>
    </row>
    <row r="24" spans="1:9" ht="12.75">
      <c r="A24" s="13" t="s">
        <v>22</v>
      </c>
      <c r="B24" s="13" t="s">
        <v>25</v>
      </c>
      <c r="C24" s="27">
        <v>98053</v>
      </c>
      <c r="D24" s="15">
        <f t="shared" si="3"/>
        <v>212467.91883333336</v>
      </c>
      <c r="E24" s="15">
        <f t="shared" si="3"/>
        <v>177997.08550000002</v>
      </c>
      <c r="F24" s="15">
        <f t="shared" si="3"/>
        <v>34470.833333333336</v>
      </c>
      <c r="G24" s="15">
        <f>216069.07*1.18</f>
        <v>254961.5026</v>
      </c>
      <c r="H24" s="15">
        <f t="shared" si="4"/>
        <v>213596.5026</v>
      </c>
      <c r="I24" s="18">
        <v>41365</v>
      </c>
    </row>
    <row r="25" spans="1:9" ht="12.75">
      <c r="A25" s="13" t="s">
        <v>26</v>
      </c>
      <c r="B25" s="13" t="s">
        <v>23</v>
      </c>
      <c r="C25" s="18">
        <v>42685</v>
      </c>
      <c r="D25" s="15">
        <f t="shared" si="3"/>
        <v>1621131.829333333</v>
      </c>
      <c r="E25" s="15">
        <f t="shared" si="3"/>
        <v>1398990.1626666666</v>
      </c>
      <c r="F25" s="15">
        <f t="shared" si="3"/>
        <v>222141.6666666667</v>
      </c>
      <c r="G25" s="15">
        <f>1648608.64*1.18</f>
        <v>1945358.1951999997</v>
      </c>
      <c r="H25" s="15">
        <f t="shared" si="4"/>
        <v>1678788.1951999997</v>
      </c>
      <c r="I25" s="18">
        <v>266570</v>
      </c>
    </row>
    <row r="26" spans="1:9" ht="12.75">
      <c r="A26" s="13" t="s">
        <v>27</v>
      </c>
      <c r="B26" s="13" t="s">
        <v>28</v>
      </c>
      <c r="C26" s="18">
        <v>38892</v>
      </c>
      <c r="D26" s="15">
        <f t="shared" si="3"/>
        <v>1426876.1779999998</v>
      </c>
      <c r="E26" s="15">
        <f t="shared" si="3"/>
        <v>1168103.6779999998</v>
      </c>
      <c r="F26" s="15">
        <f t="shared" si="3"/>
        <v>258772.5</v>
      </c>
      <c r="G26" s="15">
        <f>1451060.52*1.18</f>
        <v>1712251.4135999999</v>
      </c>
      <c r="H26" s="15">
        <f t="shared" si="4"/>
        <v>1401724.4135999999</v>
      </c>
      <c r="I26" s="18">
        <v>310527</v>
      </c>
    </row>
    <row r="27" spans="1:9" ht="12.75">
      <c r="A27" s="13" t="s">
        <v>29</v>
      </c>
      <c r="B27" s="13" t="s">
        <v>23</v>
      </c>
      <c r="C27" s="18">
        <v>5320</v>
      </c>
      <c r="D27" s="15">
        <f t="shared" si="3"/>
        <v>980880.5066666667</v>
      </c>
      <c r="E27" s="15">
        <f t="shared" si="3"/>
        <v>851188.0066666667</v>
      </c>
      <c r="F27" s="15">
        <f t="shared" si="3"/>
        <v>129692.5</v>
      </c>
      <c r="G27" s="15">
        <f>997505.6*1.18</f>
        <v>1177056.608</v>
      </c>
      <c r="H27" s="15">
        <f t="shared" si="4"/>
        <v>1021425.608</v>
      </c>
      <c r="I27" s="18">
        <v>155631</v>
      </c>
    </row>
    <row r="28" spans="1:9" ht="22.5">
      <c r="A28" s="13" t="s">
        <v>30</v>
      </c>
      <c r="B28" s="28" t="s">
        <v>72</v>
      </c>
      <c r="C28" s="29"/>
      <c r="D28" s="15">
        <f t="shared" si="3"/>
        <v>93031.99453333333</v>
      </c>
      <c r="E28" s="15">
        <f t="shared" si="3"/>
        <v>69769.60564444445</v>
      </c>
      <c r="F28" s="15">
        <f t="shared" si="3"/>
        <v>23262.38888888888</v>
      </c>
      <c r="G28" s="15">
        <f>94608.808*1.18</f>
        <v>111638.39344</v>
      </c>
      <c r="H28" s="15">
        <f t="shared" si="4"/>
        <v>83723.52677333335</v>
      </c>
      <c r="I28" s="18">
        <v>27914.866666666654</v>
      </c>
    </row>
    <row r="29" spans="1:9" ht="12.75">
      <c r="A29" s="30"/>
      <c r="B29" s="30"/>
      <c r="F29" s="31">
        <f>SUM(F22:F28)</f>
        <v>1037546.5555555556</v>
      </c>
      <c r="I29" s="31">
        <f>SUM(I22:I28)</f>
        <v>1245055.8666666667</v>
      </c>
    </row>
    <row r="30" spans="5:9" ht="12.75">
      <c r="E30" s="32" t="s">
        <v>31</v>
      </c>
      <c r="F30" s="33">
        <f>SUM(F29,F20)</f>
        <v>1818362.388888889</v>
      </c>
      <c r="H30" s="34" t="s">
        <v>32</v>
      </c>
      <c r="I30" s="35">
        <f>SUM(I29,I20)</f>
        <v>2182034.8666666667</v>
      </c>
    </row>
    <row r="32" ht="12.75">
      <c r="A32" s="45" t="s">
        <v>40</v>
      </c>
    </row>
    <row r="33" ht="12.75">
      <c r="A33" s="45"/>
    </row>
    <row r="34" ht="12.75">
      <c r="A34" s="71" t="s">
        <v>104</v>
      </c>
    </row>
    <row r="35" spans="1:4" ht="15" thickBot="1">
      <c r="A35" s="92" t="s">
        <v>65</v>
      </c>
      <c r="B35" s="92" t="s">
        <v>63</v>
      </c>
      <c r="C35" s="92" t="s">
        <v>64</v>
      </c>
      <c r="D35" s="72"/>
    </row>
    <row r="36" spans="1:3" ht="12.75">
      <c r="A36" s="89" t="s">
        <v>54</v>
      </c>
      <c r="B36" s="90" t="s">
        <v>55</v>
      </c>
      <c r="C36" s="90">
        <v>5650</v>
      </c>
    </row>
    <row r="37" spans="1:3" ht="12.75">
      <c r="A37" s="82" t="s">
        <v>102</v>
      </c>
      <c r="B37" s="16" t="s">
        <v>58</v>
      </c>
      <c r="C37" s="16">
        <v>13612</v>
      </c>
    </row>
    <row r="38" spans="1:3" ht="12.75">
      <c r="A38" s="82" t="s">
        <v>59</v>
      </c>
      <c r="B38" s="16" t="s">
        <v>60</v>
      </c>
      <c r="C38" s="16">
        <v>15898</v>
      </c>
    </row>
    <row r="39" spans="1:4" ht="12.75">
      <c r="A39" s="82" t="s">
        <v>89</v>
      </c>
      <c r="B39" s="16" t="s">
        <v>62</v>
      </c>
      <c r="C39" s="16">
        <v>36899</v>
      </c>
      <c r="D39" s="81"/>
    </row>
    <row r="40" spans="1:3" ht="12.75">
      <c r="A40" s="82" t="s">
        <v>95</v>
      </c>
      <c r="B40" s="95" t="s">
        <v>67</v>
      </c>
      <c r="C40" s="95">
        <v>9600</v>
      </c>
    </row>
    <row r="41" spans="1:3" ht="12.75">
      <c r="A41" s="82" t="s">
        <v>103</v>
      </c>
      <c r="B41" s="16" t="s">
        <v>61</v>
      </c>
      <c r="C41" s="16">
        <v>11320</v>
      </c>
    </row>
    <row r="42" spans="1:3" ht="12.75">
      <c r="A42" s="100" t="s">
        <v>90</v>
      </c>
      <c r="B42" s="96" t="s">
        <v>68</v>
      </c>
      <c r="C42" s="95">
        <v>4100</v>
      </c>
    </row>
    <row r="43" spans="1:3" ht="12.75">
      <c r="A43" s="101" t="s">
        <v>100</v>
      </c>
      <c r="B43" s="102" t="s">
        <v>96</v>
      </c>
      <c r="C43" s="102">
        <v>16530</v>
      </c>
    </row>
    <row r="44" spans="1:3" ht="12.75">
      <c r="A44" s="82" t="s">
        <v>91</v>
      </c>
      <c r="B44" s="16" t="s">
        <v>55</v>
      </c>
      <c r="C44" s="16">
        <v>20546</v>
      </c>
    </row>
    <row r="45" spans="1:3" ht="12.75">
      <c r="A45" s="82" t="s">
        <v>101</v>
      </c>
      <c r="B45" s="16" t="s">
        <v>56</v>
      </c>
      <c r="C45" s="16">
        <v>5175</v>
      </c>
    </row>
    <row r="46" spans="1:3" ht="12.75">
      <c r="A46" s="100" t="s">
        <v>99</v>
      </c>
      <c r="B46" s="95" t="s">
        <v>97</v>
      </c>
      <c r="C46" s="95">
        <v>8954</v>
      </c>
    </row>
    <row r="47" spans="1:3" ht="12.75">
      <c r="A47" s="97" t="s">
        <v>99</v>
      </c>
      <c r="B47" s="96" t="s">
        <v>98</v>
      </c>
      <c r="C47" s="95">
        <v>22807</v>
      </c>
    </row>
    <row r="48" spans="1:3" ht="12.75">
      <c r="A48" s="82" t="s">
        <v>93</v>
      </c>
      <c r="B48" s="16" t="s">
        <v>57</v>
      </c>
      <c r="C48" s="16">
        <v>63250</v>
      </c>
    </row>
    <row r="49" spans="1:5" ht="12.75">
      <c r="A49" s="97" t="s">
        <v>69</v>
      </c>
      <c r="B49" s="87" t="s">
        <v>70</v>
      </c>
      <c r="C49" s="87">
        <v>650</v>
      </c>
      <c r="D49" s="4"/>
      <c r="E49" s="4"/>
    </row>
    <row r="50" spans="1:5" ht="13.5" thickBot="1">
      <c r="A50" s="98" t="s">
        <v>92</v>
      </c>
      <c r="B50" s="16" t="s">
        <v>66</v>
      </c>
      <c r="C50" s="99">
        <v>38360</v>
      </c>
      <c r="D50" s="4"/>
      <c r="E50" s="4"/>
    </row>
    <row r="51" spans="3:5" ht="12.75">
      <c r="C51" s="71">
        <f>SUM(C36:C50)</f>
        <v>273351</v>
      </c>
      <c r="D51" s="4"/>
      <c r="E51" s="4"/>
    </row>
    <row r="52" spans="1:5" ht="12.75">
      <c r="A52" s="71"/>
      <c r="D52" s="4"/>
      <c r="E52" s="4"/>
    </row>
    <row r="54" ht="15">
      <c r="A54" s="1"/>
    </row>
    <row r="55" ht="15">
      <c r="A55" s="1" t="s">
        <v>53</v>
      </c>
    </row>
    <row r="56" ht="13.5" thickBot="1"/>
    <row r="57" spans="1:6" ht="102.75" thickBot="1">
      <c r="A57" s="5" t="s">
        <v>4</v>
      </c>
      <c r="B57" s="6" t="s">
        <v>5</v>
      </c>
      <c r="C57" s="7" t="s">
        <v>6</v>
      </c>
      <c r="D57" s="6" t="s">
        <v>41</v>
      </c>
      <c r="E57" s="47" t="s">
        <v>42</v>
      </c>
      <c r="F57" s="47" t="s">
        <v>43</v>
      </c>
    </row>
    <row r="58" spans="1:6" ht="15.75">
      <c r="A58" s="9" t="s">
        <v>44</v>
      </c>
      <c r="B58" s="10" t="s">
        <v>13</v>
      </c>
      <c r="C58" s="48"/>
      <c r="D58" s="48"/>
      <c r="E58" s="48"/>
      <c r="F58" s="46"/>
    </row>
    <row r="59" spans="1:6" ht="22.5">
      <c r="A59" s="49" t="s">
        <v>33</v>
      </c>
      <c r="B59" s="73" t="s">
        <v>45</v>
      </c>
      <c r="C59" s="50"/>
      <c r="D59" s="51">
        <v>1025220</v>
      </c>
      <c r="E59" s="52">
        <v>292920</v>
      </c>
      <c r="F59" s="53">
        <f aca="true" t="shared" si="5" ref="F59:F64">D59-E59</f>
        <v>732300</v>
      </c>
    </row>
    <row r="60" spans="1:6" ht="12.75">
      <c r="A60" s="78" t="s">
        <v>18</v>
      </c>
      <c r="B60" s="42" t="s">
        <v>112</v>
      </c>
      <c r="C60" s="94">
        <v>135754</v>
      </c>
      <c r="D60" s="111">
        <f>(C60*2.39*1.2*5)</f>
        <v>1946712.36</v>
      </c>
      <c r="E60" s="111">
        <f>(C60*1.95*1.2*5)</f>
        <v>1588321.7999999998</v>
      </c>
      <c r="F60" s="110">
        <f t="shared" si="5"/>
        <v>358390.5600000003</v>
      </c>
    </row>
    <row r="61" spans="1:8" ht="22.5">
      <c r="A61" s="78" t="s">
        <v>18</v>
      </c>
      <c r="B61" s="13" t="s">
        <v>36</v>
      </c>
      <c r="C61" s="94">
        <v>135754</v>
      </c>
      <c r="D61" s="112">
        <f>C61*2.05*1.2*5</f>
        <v>1669774.1999999995</v>
      </c>
      <c r="E61" s="113">
        <f>C61*1.95*1.2*5</f>
        <v>1588321.7999999998</v>
      </c>
      <c r="F61" s="110">
        <f t="shared" si="5"/>
        <v>81452.39999999967</v>
      </c>
      <c r="G61" s="4"/>
      <c r="H61" s="4"/>
    </row>
    <row r="62" spans="1:8" ht="22.5">
      <c r="A62" s="78" t="s">
        <v>18</v>
      </c>
      <c r="B62" s="42" t="s">
        <v>94</v>
      </c>
      <c r="C62">
        <v>331237</v>
      </c>
      <c r="D62" s="112">
        <f>C62*2.05*1.2*5</f>
        <v>4074215.0999999996</v>
      </c>
      <c r="E62" s="113">
        <f>C62*1.95*1.2*5</f>
        <v>3875472.9</v>
      </c>
      <c r="F62" s="110">
        <f t="shared" si="5"/>
        <v>198742.19999999972</v>
      </c>
      <c r="G62" s="4"/>
      <c r="H62" s="4"/>
    </row>
    <row r="63" spans="1:6" ht="22.5">
      <c r="A63" s="49" t="s">
        <v>16</v>
      </c>
      <c r="B63" s="42" t="s">
        <v>17</v>
      </c>
      <c r="C63" s="54">
        <v>-358</v>
      </c>
      <c r="D63" s="37">
        <v>846193.86</v>
      </c>
      <c r="E63" s="55">
        <v>834659.1</v>
      </c>
      <c r="F63" s="29">
        <f t="shared" si="5"/>
        <v>11534.76000000001</v>
      </c>
    </row>
    <row r="64" spans="1:6" ht="22.5">
      <c r="A64" s="49" t="s">
        <v>20</v>
      </c>
      <c r="B64" s="13" t="s">
        <v>71</v>
      </c>
      <c r="C64" s="54" t="s">
        <v>46</v>
      </c>
      <c r="D64" s="37">
        <v>25000</v>
      </c>
      <c r="E64" s="55">
        <v>0</v>
      </c>
      <c r="F64" s="29">
        <f t="shared" si="5"/>
        <v>25000</v>
      </c>
    </row>
    <row r="65" spans="1:6" ht="12.75">
      <c r="A65" s="56"/>
      <c r="B65" s="57"/>
      <c r="C65" s="58"/>
      <c r="D65" s="59"/>
      <c r="E65" s="60"/>
      <c r="F65" s="61"/>
    </row>
    <row r="66" spans="1:6" ht="15.75">
      <c r="A66" s="9" t="s">
        <v>44</v>
      </c>
      <c r="B66" s="10" t="s">
        <v>21</v>
      </c>
      <c r="C66" s="46"/>
      <c r="D66" s="62"/>
      <c r="E66" s="62"/>
      <c r="F66" s="62"/>
    </row>
    <row r="67" spans="1:6" ht="12.75">
      <c r="A67" s="63" t="s">
        <v>47</v>
      </c>
      <c r="B67" s="74" t="s">
        <v>48</v>
      </c>
      <c r="C67" s="53">
        <v>-18990</v>
      </c>
      <c r="D67" s="51">
        <v>891153.9</v>
      </c>
      <c r="E67" s="51">
        <v>621572.5</v>
      </c>
      <c r="F67" s="53">
        <f aca="true" t="shared" si="6" ref="F67:F72">D67-E67</f>
        <v>269581.4</v>
      </c>
    </row>
    <row r="68" spans="1:6" ht="12.75">
      <c r="A68" s="64" t="s">
        <v>47</v>
      </c>
      <c r="B68" s="75" t="s">
        <v>49</v>
      </c>
      <c r="C68" s="65">
        <f>-210793</f>
        <v>-210793</v>
      </c>
      <c r="D68" s="66">
        <v>2103893.15</v>
      </c>
      <c r="E68" s="66">
        <v>173872</v>
      </c>
      <c r="F68" s="53">
        <f t="shared" si="6"/>
        <v>1930021.15</v>
      </c>
    </row>
    <row r="69" spans="1:6" ht="12.75">
      <c r="A69" s="64" t="s">
        <v>47</v>
      </c>
      <c r="B69" s="75" t="s">
        <v>50</v>
      </c>
      <c r="C69" s="67">
        <f>88212</f>
        <v>88212</v>
      </c>
      <c r="D69" s="66">
        <v>820545</v>
      </c>
      <c r="E69" s="66">
        <v>1331822</v>
      </c>
      <c r="F69" s="53">
        <f t="shared" si="6"/>
        <v>-511277</v>
      </c>
    </row>
    <row r="70" spans="1:6" ht="12.75">
      <c r="A70" s="64" t="s">
        <v>47</v>
      </c>
      <c r="B70" s="75" t="s">
        <v>51</v>
      </c>
      <c r="C70" s="67">
        <f>141571</f>
        <v>141571</v>
      </c>
      <c r="D70" s="66">
        <v>190350.72</v>
      </c>
      <c r="E70" s="66">
        <v>666030</v>
      </c>
      <c r="F70" s="53">
        <f t="shared" si="6"/>
        <v>-475679.28</v>
      </c>
    </row>
    <row r="71" spans="1:8" ht="24">
      <c r="A71" s="77" t="s">
        <v>52</v>
      </c>
      <c r="B71" s="76" t="s">
        <v>153</v>
      </c>
      <c r="C71" s="54"/>
      <c r="D71" s="155">
        <v>349969.28</v>
      </c>
      <c r="E71" s="37">
        <v>193889</v>
      </c>
      <c r="F71" s="29">
        <f t="shared" si="6"/>
        <v>156080.28000000003</v>
      </c>
      <c r="G71" s="93">
        <v>367169</v>
      </c>
      <c r="H71" s="93" t="s">
        <v>154</v>
      </c>
    </row>
    <row r="72" spans="1:6" ht="22.5">
      <c r="A72" s="49" t="s">
        <v>20</v>
      </c>
      <c r="B72" s="13" t="s">
        <v>71</v>
      </c>
      <c r="C72" s="54"/>
      <c r="D72" s="37">
        <v>35000</v>
      </c>
      <c r="E72" s="37">
        <v>0</v>
      </c>
      <c r="F72" s="29">
        <f t="shared" si="6"/>
        <v>35000</v>
      </c>
    </row>
    <row r="73" spans="1:6" ht="12.75">
      <c r="A73" s="56"/>
      <c r="B73" s="57"/>
      <c r="C73" s="58"/>
      <c r="D73" s="68"/>
      <c r="E73" s="69"/>
      <c r="F73" s="61"/>
    </row>
    <row r="74" spans="1:6" ht="12.75">
      <c r="A74" s="56"/>
      <c r="B74" s="57"/>
      <c r="C74" s="58"/>
      <c r="D74" s="80" t="s">
        <v>32</v>
      </c>
      <c r="E74" s="69"/>
      <c r="F74" s="79">
        <f>SUM(F59:F72)</f>
        <v>2811146.4699999997</v>
      </c>
    </row>
    <row r="75" spans="1:6" ht="12.75">
      <c r="A75" s="56"/>
      <c r="B75" s="57"/>
      <c r="C75" s="58"/>
      <c r="D75" s="68"/>
      <c r="E75" s="69"/>
      <c r="F75" s="70"/>
    </row>
    <row r="76" ht="12.75">
      <c r="A76" s="45" t="s">
        <v>40</v>
      </c>
    </row>
    <row r="77" ht="12.75">
      <c r="A77" s="45"/>
    </row>
    <row r="78" ht="12.75">
      <c r="A78" s="71" t="s">
        <v>104</v>
      </c>
    </row>
    <row r="79" spans="1:3" ht="15" thickBot="1">
      <c r="A79" s="92" t="s">
        <v>65</v>
      </c>
      <c r="B79" s="92" t="s">
        <v>63</v>
      </c>
      <c r="C79" s="92" t="s">
        <v>64</v>
      </c>
    </row>
    <row r="80" spans="1:3" ht="12.75">
      <c r="A80" s="89" t="s">
        <v>54</v>
      </c>
      <c r="B80" s="90" t="s">
        <v>73</v>
      </c>
      <c r="C80" s="91">
        <v>26651</v>
      </c>
    </row>
    <row r="81" spans="1:3" ht="12.75">
      <c r="A81" s="85" t="s">
        <v>85</v>
      </c>
      <c r="B81" s="83" t="s">
        <v>86</v>
      </c>
      <c r="C81" s="83">
        <v>1800</v>
      </c>
    </row>
    <row r="82" spans="1:3" ht="12.75">
      <c r="A82" s="109" t="s">
        <v>106</v>
      </c>
      <c r="B82" s="86" t="s">
        <v>107</v>
      </c>
      <c r="C82" s="108">
        <v>3728</v>
      </c>
    </row>
    <row r="83" spans="1:3" ht="12.75">
      <c r="A83" s="85" t="s">
        <v>77</v>
      </c>
      <c r="B83" s="83" t="s">
        <v>78</v>
      </c>
      <c r="C83" s="107">
        <v>19119</v>
      </c>
    </row>
    <row r="84" spans="1:3" ht="12.75">
      <c r="A84" s="85" t="s">
        <v>87</v>
      </c>
      <c r="B84" s="83" t="s">
        <v>88</v>
      </c>
      <c r="C84" s="83">
        <v>4617</v>
      </c>
    </row>
    <row r="85" spans="1:3" ht="12.75">
      <c r="A85" s="85" t="s">
        <v>108</v>
      </c>
      <c r="B85" s="83" t="s">
        <v>109</v>
      </c>
      <c r="C85" s="83">
        <v>3609</v>
      </c>
    </row>
    <row r="86" spans="1:3" ht="12.75">
      <c r="A86" s="85" t="s">
        <v>100</v>
      </c>
      <c r="B86" s="83" t="s">
        <v>110</v>
      </c>
      <c r="C86" s="83">
        <v>33554</v>
      </c>
    </row>
    <row r="87" spans="1:3" ht="12.75">
      <c r="A87" s="85" t="s">
        <v>75</v>
      </c>
      <c r="B87" s="83" t="s">
        <v>76</v>
      </c>
      <c r="C87" s="84">
        <v>3395</v>
      </c>
    </row>
    <row r="88" spans="1:3" ht="12.75">
      <c r="A88" s="88" t="s">
        <v>83</v>
      </c>
      <c r="B88" s="83" t="s">
        <v>84</v>
      </c>
      <c r="C88" s="84">
        <v>952</v>
      </c>
    </row>
    <row r="89" spans="1:3" ht="12.75">
      <c r="A89" s="85" t="s">
        <v>79</v>
      </c>
      <c r="B89" s="86" t="s">
        <v>80</v>
      </c>
      <c r="C89" s="87">
        <v>16191</v>
      </c>
    </row>
    <row r="90" spans="1:3" ht="12.75">
      <c r="A90" s="85" t="s">
        <v>111</v>
      </c>
      <c r="B90" s="83" t="s">
        <v>74</v>
      </c>
      <c r="C90" s="83">
        <v>20954</v>
      </c>
    </row>
    <row r="91" spans="1:3" ht="13.5" thickBot="1">
      <c r="A91" s="88" t="s">
        <v>81</v>
      </c>
      <c r="B91" s="83" t="s">
        <v>82</v>
      </c>
      <c r="C91" s="106">
        <v>1184</v>
      </c>
    </row>
    <row r="92" ht="12.75">
      <c r="C92" s="71">
        <f>SUM(C80:C91)</f>
        <v>135754</v>
      </c>
    </row>
    <row r="94" ht="15.75">
      <c r="A94" s="3" t="s">
        <v>121</v>
      </c>
    </row>
    <row r="95" ht="15.75">
      <c r="A95" s="2" t="s">
        <v>122</v>
      </c>
    </row>
    <row r="97" ht="15">
      <c r="A97" s="1" t="s">
        <v>123</v>
      </c>
    </row>
    <row r="98" ht="13.5" thickBot="1"/>
    <row r="99" spans="1:6" ht="128.25" thickBot="1">
      <c r="A99" s="5" t="s">
        <v>4</v>
      </c>
      <c r="B99" s="6" t="s">
        <v>5</v>
      </c>
      <c r="C99" s="7" t="s">
        <v>6</v>
      </c>
      <c r="D99" s="6" t="s">
        <v>41</v>
      </c>
      <c r="E99" s="47" t="s">
        <v>113</v>
      </c>
      <c r="F99" s="47" t="s">
        <v>43</v>
      </c>
    </row>
    <row r="100" spans="1:6" ht="38.25">
      <c r="A100" s="114" t="s">
        <v>114</v>
      </c>
      <c r="B100" s="115" t="s">
        <v>115</v>
      </c>
      <c r="C100" s="116">
        <v>15602</v>
      </c>
      <c r="D100" s="67">
        <v>370298</v>
      </c>
      <c r="E100" s="117">
        <v>336251</v>
      </c>
      <c r="F100" s="117">
        <v>34047</v>
      </c>
    </row>
    <row r="101" spans="1:6" ht="38.25">
      <c r="A101" s="118" t="s">
        <v>116</v>
      </c>
      <c r="B101" s="115" t="s">
        <v>131</v>
      </c>
      <c r="C101" s="116">
        <v>17516</v>
      </c>
      <c r="D101" s="117">
        <v>402910</v>
      </c>
      <c r="E101" s="117">
        <v>359410</v>
      </c>
      <c r="F101" s="117">
        <v>43500</v>
      </c>
    </row>
    <row r="102" spans="1:6" ht="38.25">
      <c r="A102" s="120" t="s">
        <v>117</v>
      </c>
      <c r="B102" s="115" t="s">
        <v>118</v>
      </c>
      <c r="C102" s="116">
        <v>17649</v>
      </c>
      <c r="D102" s="117">
        <v>302133</v>
      </c>
      <c r="E102" s="117">
        <v>263010</v>
      </c>
      <c r="F102" s="117">
        <v>39123</v>
      </c>
    </row>
    <row r="103" spans="1:6" ht="63.75">
      <c r="A103" s="118" t="s">
        <v>119</v>
      </c>
      <c r="B103" s="115" t="s">
        <v>120</v>
      </c>
      <c r="C103" s="116">
        <v>65203</v>
      </c>
      <c r="D103" s="121">
        <v>258692</v>
      </c>
      <c r="E103" s="121">
        <v>199228</v>
      </c>
      <c r="F103" s="117">
        <v>59464</v>
      </c>
    </row>
    <row r="104" spans="1:6" ht="64.5" thickBot="1">
      <c r="A104" s="118" t="s">
        <v>119</v>
      </c>
      <c r="B104" s="115" t="s">
        <v>130</v>
      </c>
      <c r="C104" s="116">
        <v>9500</v>
      </c>
      <c r="D104" s="123"/>
      <c r="E104" s="124"/>
      <c r="F104" s="125"/>
    </row>
    <row r="105" spans="1:6" ht="12.75">
      <c r="A105" s="122"/>
      <c r="B105" s="122"/>
      <c r="C105" s="127" t="s">
        <v>32</v>
      </c>
      <c r="D105" s="127">
        <v>1334033</v>
      </c>
      <c r="E105" s="127">
        <v>1157899</v>
      </c>
      <c r="F105" s="128">
        <v>176134</v>
      </c>
    </row>
    <row r="106" spans="2:3" ht="12.75">
      <c r="B106" s="154" t="s">
        <v>149</v>
      </c>
      <c r="C106">
        <f>C104+C102+C101+C100</f>
        <v>60267</v>
      </c>
    </row>
    <row r="107" spans="2:3" ht="12.75">
      <c r="B107" s="154" t="s">
        <v>151</v>
      </c>
      <c r="C107">
        <f>(C104*0.44*1.2)+(C102*0.44*1.2)+(C101*0.43*1.2)+(C100*0.42*1.2)</f>
        <v>31236.336</v>
      </c>
    </row>
    <row r="109" ht="15">
      <c r="A109" s="1" t="s">
        <v>124</v>
      </c>
    </row>
    <row r="110" ht="13.5" thickBot="1"/>
    <row r="111" spans="1:6" ht="128.25" thickBot="1">
      <c r="A111" s="5" t="s">
        <v>4</v>
      </c>
      <c r="B111" s="6" t="s">
        <v>5</v>
      </c>
      <c r="C111" s="7" t="s">
        <v>6</v>
      </c>
      <c r="D111" s="6" t="s">
        <v>125</v>
      </c>
      <c r="E111" s="6" t="s">
        <v>126</v>
      </c>
      <c r="F111" s="8" t="s">
        <v>43</v>
      </c>
    </row>
    <row r="112" spans="1:6" ht="63.75">
      <c r="A112" s="130" t="s">
        <v>127</v>
      </c>
      <c r="B112" s="131" t="s">
        <v>129</v>
      </c>
      <c r="C112" s="136">
        <v>63801</v>
      </c>
      <c r="D112" s="137">
        <v>547132</v>
      </c>
      <c r="E112" s="37">
        <v>454119.55</v>
      </c>
      <c r="F112" s="111">
        <f>D112-E112</f>
        <v>93012.45000000001</v>
      </c>
    </row>
    <row r="113" spans="2:6" ht="13.5" thickBot="1">
      <c r="B113" s="126" t="s">
        <v>150</v>
      </c>
      <c r="C113">
        <f>C112*0.44*1.2</f>
        <v>33686.928</v>
      </c>
      <c r="E113" s="133" t="s">
        <v>32</v>
      </c>
      <c r="F113" s="134">
        <f>SUM(F112)</f>
        <v>93012.45000000001</v>
      </c>
    </row>
    <row r="114" spans="5:6" ht="12.75">
      <c r="E114" s="129" t="s">
        <v>128</v>
      </c>
      <c r="F114" s="135">
        <f>F113+F105</f>
        <v>269146.45</v>
      </c>
    </row>
    <row r="116" ht="12.75">
      <c r="A116" s="45" t="s">
        <v>132</v>
      </c>
    </row>
    <row r="117" ht="12.75">
      <c r="A117" s="71" t="s">
        <v>146</v>
      </c>
    </row>
    <row r="118" ht="12.75">
      <c r="A118" s="71" t="s">
        <v>147</v>
      </c>
    </row>
    <row r="119" spans="1:2" ht="12.75">
      <c r="A119" s="71" t="s">
        <v>152</v>
      </c>
      <c r="B119" s="4"/>
    </row>
    <row r="120" ht="12.75">
      <c r="A120" s="71" t="s">
        <v>148</v>
      </c>
    </row>
    <row r="124" ht="15.75">
      <c r="A124" s="3" t="s">
        <v>133</v>
      </c>
    </row>
    <row r="125" ht="15.75">
      <c r="A125" s="2" t="s">
        <v>122</v>
      </c>
    </row>
    <row r="126" ht="15.75">
      <c r="A126" s="2"/>
    </row>
    <row r="127" ht="15">
      <c r="A127" s="1" t="s">
        <v>134</v>
      </c>
    </row>
    <row r="128" ht="13.5" thickBot="1"/>
    <row r="129" spans="1:6" ht="128.25" thickBot="1">
      <c r="A129" s="5" t="s">
        <v>4</v>
      </c>
      <c r="B129" s="6" t="s">
        <v>5</v>
      </c>
      <c r="C129" s="138" t="s">
        <v>6</v>
      </c>
      <c r="D129" s="6" t="s">
        <v>41</v>
      </c>
      <c r="E129" s="6" t="s">
        <v>136</v>
      </c>
      <c r="F129" s="139" t="s">
        <v>43</v>
      </c>
    </row>
    <row r="130" spans="1:6" ht="102">
      <c r="A130" s="119" t="s">
        <v>137</v>
      </c>
      <c r="B130" s="119" t="s">
        <v>138</v>
      </c>
      <c r="C130" s="140">
        <f>F130/D130</f>
        <v>0.1128254835563769</v>
      </c>
      <c r="D130" s="141">
        <v>308152.28</v>
      </c>
      <c r="E130" s="142">
        <v>273384.85</v>
      </c>
      <c r="F130" s="143">
        <f>D130-E130</f>
        <v>34767.43000000005</v>
      </c>
    </row>
    <row r="133" ht="15">
      <c r="A133" s="1" t="s">
        <v>135</v>
      </c>
    </row>
    <row r="134" ht="13.5" thickBot="1"/>
    <row r="135" spans="1:6" ht="128.25" thickBot="1">
      <c r="A135" s="5" t="s">
        <v>4</v>
      </c>
      <c r="B135" s="6" t="s">
        <v>5</v>
      </c>
      <c r="C135" s="7" t="s">
        <v>6</v>
      </c>
      <c r="D135" s="6" t="s">
        <v>41</v>
      </c>
      <c r="E135" s="6" t="s">
        <v>139</v>
      </c>
      <c r="F135" s="139" t="s">
        <v>43</v>
      </c>
    </row>
    <row r="136" spans="1:6" ht="127.5">
      <c r="A136" s="131" t="s">
        <v>140</v>
      </c>
      <c r="B136" s="131" t="s">
        <v>141</v>
      </c>
      <c r="C136" s="144"/>
      <c r="D136" s="145">
        <v>229510</v>
      </c>
      <c r="E136" s="132">
        <f>D136*0.88</f>
        <v>201968.8</v>
      </c>
      <c r="F136" s="146">
        <f>D136-E136</f>
        <v>27541.20000000001</v>
      </c>
    </row>
    <row r="137" spans="1:6" ht="127.5">
      <c r="A137" s="131" t="s">
        <v>142</v>
      </c>
      <c r="B137" s="131" t="s">
        <v>141</v>
      </c>
      <c r="C137" s="144"/>
      <c r="D137" s="145">
        <v>313408</v>
      </c>
      <c r="E137" s="132">
        <f>D137*0.88</f>
        <v>275799.04</v>
      </c>
      <c r="F137" s="147">
        <f>D137-E137</f>
        <v>37608.96000000002</v>
      </c>
    </row>
    <row r="138" spans="1:6" ht="128.25" thickBot="1">
      <c r="A138" s="131" t="s">
        <v>143</v>
      </c>
      <c r="B138" s="131" t="s">
        <v>141</v>
      </c>
      <c r="C138" s="144"/>
      <c r="D138" s="148">
        <v>330212</v>
      </c>
      <c r="E138" s="132">
        <f>D138*0.88</f>
        <v>290586.56</v>
      </c>
      <c r="F138" s="149">
        <f>D138-E138</f>
        <v>39625.44</v>
      </c>
    </row>
    <row r="139" spans="2:6" ht="13.5" thickBot="1">
      <c r="B139" s="126" t="s">
        <v>144</v>
      </c>
      <c r="C139" s="150">
        <f>F139/D139</f>
        <v>0.12000000000000004</v>
      </c>
      <c r="D139" s="151">
        <f>SUM(D136:D138)</f>
        <v>873130</v>
      </c>
      <c r="E139" s="152">
        <f>SUM(E136:E138)</f>
        <v>768354.3999999999</v>
      </c>
      <c r="F139" s="151">
        <f>SUM(F136:F138)</f>
        <v>104775.60000000003</v>
      </c>
    </row>
    <row r="142" spans="5:6" ht="12.75">
      <c r="E142" s="129" t="s">
        <v>145</v>
      </c>
      <c r="F142" s="153">
        <f>F139+F130</f>
        <v>139543.0300000001</v>
      </c>
    </row>
  </sheetData>
  <mergeCells count="4">
    <mergeCell ref="D11:D12"/>
    <mergeCell ref="E11:E12"/>
    <mergeCell ref="G11:G12"/>
    <mergeCell ref="H11:H12"/>
  </mergeCells>
  <printOptions/>
  <pageMargins left="0.2" right="0.23" top="0.62" bottom="0.2" header="0.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</dc:creator>
  <cp:keywords/>
  <dc:description/>
  <cp:lastModifiedBy>madis</cp:lastModifiedBy>
  <cp:lastPrinted>2009-08-14T14:48:52Z</cp:lastPrinted>
  <dcterms:created xsi:type="dcterms:W3CDTF">2009-08-13T16:12:06Z</dcterms:created>
  <dcterms:modified xsi:type="dcterms:W3CDTF">2009-10-30T14:32:57Z</dcterms:modified>
  <cp:category/>
  <cp:version/>
  <cp:contentType/>
  <cp:contentStatus/>
</cp:coreProperties>
</file>