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0" yWindow="180" windowWidth="13410" windowHeight="11925" tabRatio="915" activeTab="1"/>
  </bookViews>
  <sheets>
    <sheet name="lisa 1(koond)" sheetId="1" r:id="rId1"/>
    <sheet name="lisa 2 (Tulubaas)" sheetId="2" r:id="rId2"/>
    <sheet name="lisa 3 (põhitegevus)" sheetId="4" r:id="rId3"/>
    <sheet name="Lisa 4 (invest)" sheetId="12" r:id="rId4"/>
  </sheets>
  <definedNames>
    <definedName name="_xlnm._FilterDatabase" localSheetId="2" hidden="1">'lisa 3 (põhitegevus)'!$B$1:$C$84</definedName>
    <definedName name="Prinditiitlid" localSheetId="2">'lisa 3 (põhitegevus)'!$4:$4</definedName>
    <definedName name="_xlnm.Print_Titles" localSheetId="2">'lisa 3 (põhitegevus)'!$4:$4</definedName>
    <definedName name="_xlnm.Print_Titles" localSheetId="3">'Lisa 4 (invest)'!$11:$12</definedName>
  </definedNames>
  <calcPr calcId="125725"/>
</workbook>
</file>

<file path=xl/calcChain.xml><?xml version="1.0" encoding="utf-8"?>
<calcChain xmlns="http://schemas.openxmlformats.org/spreadsheetml/2006/main">
  <c r="B13" i="2"/>
  <c r="C21"/>
  <c r="B13" i="1"/>
  <c r="B12"/>
  <c r="D19" i="4"/>
  <c r="D7" s="1"/>
  <c r="C7"/>
  <c r="D6"/>
  <c r="C6"/>
  <c r="D100"/>
  <c r="D97"/>
  <c r="C97"/>
  <c r="D93"/>
  <c r="D89"/>
  <c r="D91"/>
  <c r="C93"/>
  <c r="D84"/>
  <c r="D85"/>
  <c r="C85"/>
  <c r="D86"/>
  <c r="C86"/>
  <c r="D69"/>
  <c r="C69"/>
  <c r="C82"/>
  <c r="D81"/>
  <c r="D79"/>
  <c r="C79"/>
  <c r="D76"/>
  <c r="C76"/>
  <c r="D60"/>
  <c r="C60"/>
  <c r="D74"/>
  <c r="C74"/>
  <c r="D72"/>
  <c r="C72"/>
  <c r="D67"/>
  <c r="C68"/>
  <c r="C66"/>
  <c r="D65"/>
  <c r="D63"/>
  <c r="C64"/>
  <c r="D61"/>
  <c r="D59"/>
  <c r="C62"/>
  <c r="D40"/>
  <c r="D39"/>
  <c r="C39"/>
  <c r="C53"/>
  <c r="C51"/>
  <c r="C49"/>
  <c r="C45"/>
  <c r="D56"/>
  <c r="D54"/>
  <c r="C54"/>
  <c r="D52"/>
  <c r="D50"/>
  <c r="D48"/>
  <c r="D46"/>
  <c r="D44"/>
  <c r="D41"/>
  <c r="C43"/>
  <c r="D36"/>
  <c r="D34"/>
  <c r="D33"/>
  <c r="D32" s="1"/>
  <c r="C33"/>
  <c r="C32" s="1"/>
  <c r="C36"/>
  <c r="C34"/>
  <c r="D29"/>
  <c r="C29"/>
  <c r="D30"/>
  <c r="D28" s="1"/>
  <c r="C30"/>
  <c r="C28" s="1"/>
  <c r="D26"/>
  <c r="D24"/>
  <c r="D22"/>
  <c r="D20"/>
  <c r="D15"/>
  <c r="D14" s="1"/>
  <c r="D16"/>
  <c r="D12"/>
  <c r="D8" s="1"/>
  <c r="C13"/>
  <c r="F50" i="12"/>
  <c r="F37"/>
  <c r="D37"/>
  <c r="E52"/>
  <c r="E53"/>
  <c r="E54"/>
  <c r="E51"/>
  <c r="D51"/>
  <c r="D50" s="1"/>
  <c r="C50"/>
  <c r="D53"/>
  <c r="D52"/>
  <c r="D18" i="4" l="1"/>
  <c r="C40"/>
  <c r="C59"/>
  <c r="C58" s="1"/>
  <c r="D83"/>
  <c r="D58"/>
  <c r="F60" i="12" l="1"/>
  <c r="F62"/>
  <c r="D62"/>
  <c r="D59" s="1"/>
  <c r="D60"/>
  <c r="C59"/>
  <c r="C60"/>
  <c r="C62"/>
  <c r="F57"/>
  <c r="F55"/>
  <c r="D55"/>
  <c r="E55"/>
  <c r="D57"/>
  <c r="E57"/>
  <c r="C55"/>
  <c r="F35"/>
  <c r="F33"/>
  <c r="F31"/>
  <c r="F25"/>
  <c r="F27"/>
  <c r="F24" s="1"/>
  <c r="F22"/>
  <c r="F14"/>
  <c r="F13"/>
  <c r="F7"/>
  <c r="F6"/>
  <c r="D6"/>
  <c r="D7"/>
  <c r="D9" i="4"/>
  <c r="C20" i="12"/>
  <c r="F19"/>
  <c r="C37"/>
  <c r="E50"/>
  <c r="C57"/>
  <c r="B19" i="2"/>
  <c r="B10"/>
  <c r="C18"/>
  <c r="C6"/>
  <c r="C5" s="1"/>
  <c r="C11"/>
  <c r="B11"/>
  <c r="F5" i="12" l="1"/>
  <c r="F59"/>
  <c r="E62"/>
  <c r="E41"/>
  <c r="C90" i="4" l="1"/>
  <c r="E63" i="12"/>
  <c r="C25" i="4" l="1"/>
  <c r="D27" i="12"/>
  <c r="C27"/>
  <c r="E29"/>
  <c r="E28"/>
  <c r="E27" l="1"/>
  <c r="B16" i="2"/>
  <c r="B15" s="1"/>
  <c r="C95" i="4"/>
  <c r="C92"/>
  <c r="C84" s="1"/>
  <c r="C83" s="1"/>
  <c r="C27"/>
  <c r="C19" s="1"/>
  <c r="C9"/>
  <c r="C6" i="12"/>
  <c r="E6" s="1"/>
  <c r="E42"/>
  <c r="E61" l="1"/>
  <c r="D47"/>
  <c r="C47"/>
  <c r="E48"/>
  <c r="E49"/>
  <c r="D45"/>
  <c r="C45"/>
  <c r="D38"/>
  <c r="C38"/>
  <c r="E44"/>
  <c r="E40"/>
  <c r="E43"/>
  <c r="E46"/>
  <c r="D35"/>
  <c r="C35"/>
  <c r="E36"/>
  <c r="D33"/>
  <c r="C33"/>
  <c r="E34"/>
  <c r="D31"/>
  <c r="C31"/>
  <c r="E32"/>
  <c r="D25"/>
  <c r="D24" s="1"/>
  <c r="C25"/>
  <c r="C24" s="1"/>
  <c r="D22"/>
  <c r="D21" s="1"/>
  <c r="C22"/>
  <c r="C21" s="1"/>
  <c r="E23"/>
  <c r="E20"/>
  <c r="D19"/>
  <c r="C19"/>
  <c r="C26" i="4"/>
  <c r="C12"/>
  <c r="D15" i="12"/>
  <c r="D14" s="1"/>
  <c r="D13" s="1"/>
  <c r="C15"/>
  <c r="C14" s="1"/>
  <c r="E16"/>
  <c r="E17"/>
  <c r="E18"/>
  <c r="C7"/>
  <c r="E7" s="1"/>
  <c r="E26"/>
  <c r="E39"/>
  <c r="B18" i="2"/>
  <c r="B31" i="1" s="1"/>
  <c r="C100" i="4"/>
  <c r="C91"/>
  <c r="C89"/>
  <c r="C81"/>
  <c r="C67"/>
  <c r="C65"/>
  <c r="C63"/>
  <c r="C61"/>
  <c r="C56"/>
  <c r="C52"/>
  <c r="C50"/>
  <c r="C48"/>
  <c r="C46"/>
  <c r="C44"/>
  <c r="C41"/>
  <c r="C24"/>
  <c r="C22"/>
  <c r="C20"/>
  <c r="C16"/>
  <c r="C15"/>
  <c r="D30" i="12" l="1"/>
  <c r="C30"/>
  <c r="C13"/>
  <c r="E22"/>
  <c r="E45"/>
  <c r="E31"/>
  <c r="E33"/>
  <c r="E38"/>
  <c r="E35"/>
  <c r="E47"/>
  <c r="E60"/>
  <c r="E15"/>
  <c r="E25"/>
  <c r="E19"/>
  <c r="D5"/>
  <c r="C38" i="4"/>
  <c r="C18"/>
  <c r="C14"/>
  <c r="D38" l="1"/>
  <c r="E30" i="12"/>
  <c r="B25" i="1" s="1"/>
  <c r="E24" i="12"/>
  <c r="B24" i="1" s="1"/>
  <c r="E59" i="12"/>
  <c r="B27" i="1" s="1"/>
  <c r="E37" i="12"/>
  <c r="B26" i="1" s="1"/>
  <c r="E21" i="12"/>
  <c r="B23" i="1" s="1"/>
  <c r="E13" i="12"/>
  <c r="B22" i="1" s="1"/>
  <c r="E14" i="12"/>
  <c r="B16" i="1"/>
  <c r="B15"/>
  <c r="B14"/>
  <c r="B11"/>
  <c r="B10"/>
  <c r="B19"/>
  <c r="B6"/>
  <c r="B6" i="2"/>
  <c r="B5" s="1"/>
  <c r="B21" s="1"/>
  <c r="C10" i="4"/>
  <c r="C8" l="1"/>
  <c r="B9" i="1" s="1"/>
  <c r="B8" s="1"/>
  <c r="B5"/>
  <c r="B4" s="1"/>
  <c r="B33" s="1"/>
  <c r="C5" i="4"/>
  <c r="B21" i="1"/>
  <c r="D5" i="4" l="1"/>
  <c r="B18" i="1"/>
  <c r="B29" s="1"/>
  <c r="C5" i="12"/>
  <c r="E5" s="1"/>
</calcChain>
</file>

<file path=xl/sharedStrings.xml><?xml version="1.0" encoding="utf-8"?>
<sst xmlns="http://schemas.openxmlformats.org/spreadsheetml/2006/main" count="280" uniqueCount="180">
  <si>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</si>
  <si>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</si>
  <si>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</si>
  <si>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</si>
  <si>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</si>
  <si>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</si>
  <si>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</si>
  <si>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</si>
  <si>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T U L U B A A S</t>
  </si>
  <si>
    <t xml:space="preserve">LINNA TULUBAAS  </t>
  </si>
  <si>
    <t>Vaba aeg ja kultuur</t>
  </si>
  <si>
    <t>Finantseerimisallikad</t>
  </si>
  <si>
    <t>Kokku</t>
  </si>
  <si>
    <t>linn</t>
  </si>
  <si>
    <t>Vabaaeg ja kultuur</t>
  </si>
  <si>
    <t xml:space="preserve">   Lasteaiad</t>
  </si>
  <si>
    <t>Tänavate rekonstrueerimine, ehitus</t>
  </si>
  <si>
    <t>Elamu ja kommunaalmajandus</t>
  </si>
  <si>
    <t xml:space="preserve">   Elamumajanduse arendamine</t>
  </si>
  <si>
    <t xml:space="preserve">Linnale kuuluvate elamute remont </t>
  </si>
  <si>
    <t>KOKKU</t>
  </si>
  <si>
    <t xml:space="preserve">   Laste huvialamajad ja keskused</t>
  </si>
  <si>
    <t>PÕHITEGEVUSE TULUD</t>
  </si>
  <si>
    <t>Saadavad toetused jooksvateks kuludeks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</si>
  <si>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</si>
  <si>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</si>
  <si>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</si>
  <si>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</si>
  <si>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</si>
  <si>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</si>
  <si>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EELARVE TULEM (ülejääk (+), puudujääk (-))</t>
  </si>
  <si>
    <t>eurodes</t>
  </si>
  <si>
    <t>toetused</t>
  </si>
  <si>
    <t>Täiendavate rühmade rajamine</t>
  </si>
  <si>
    <t xml:space="preserve">   Põhikoolid</t>
  </si>
  <si>
    <t>Põhivara soetus</t>
  </si>
  <si>
    <t>Põhivara soetuseks antav sihtfinantseerimine</t>
  </si>
  <si>
    <t>Annelinna Gümnaasium (Kaunase pst 68)</t>
  </si>
  <si>
    <t xml:space="preserve">  Muu majandus</t>
  </si>
  <si>
    <t xml:space="preserve">  Linna teed, tänavad ja sillad</t>
  </si>
  <si>
    <t>Investeerimistegevuse kulud  kokku</t>
  </si>
  <si>
    <t>Üldised valitsussektori teenused, sh:</t>
  </si>
  <si>
    <t>Linnavalitsus, sh:</t>
  </si>
  <si>
    <t xml:space="preserve">   antavad toetused</t>
  </si>
  <si>
    <t xml:space="preserve">   muud tegevuskulud</t>
  </si>
  <si>
    <t>Volikogu. sh:</t>
  </si>
  <si>
    <t>Avalik kord, sh:</t>
  </si>
  <si>
    <t>Muu avalik kord, sh:</t>
  </si>
  <si>
    <t>Linna teed ja tänavad, sh:</t>
  </si>
  <si>
    <t>Ühistranspordi korraldus, sh:</t>
  </si>
  <si>
    <t>Üldmajanduslikud arendusprojektid, sh:</t>
  </si>
  <si>
    <t>Muu majandus, sh:</t>
  </si>
  <si>
    <t>Majandus, sh:</t>
  </si>
  <si>
    <t>Vaba aeg ja kultuur, sh:</t>
  </si>
  <si>
    <t>Laste huvialamajad ja keskused, sh:</t>
  </si>
  <si>
    <t>Noorsoo- ja spordiprojektid, sh:</t>
  </si>
  <si>
    <t>Raamatukogud, sh:</t>
  </si>
  <si>
    <t>Rahva- ja kultuurimajad, sh:</t>
  </si>
  <si>
    <t>Muuseumid, sh:</t>
  </si>
  <si>
    <t>Seltsitegevus, sh:</t>
  </si>
  <si>
    <t>Haridus, sh:</t>
  </si>
  <si>
    <t>Koolieelsed lasteasutused, sh:</t>
  </si>
  <si>
    <t>Põhikoolid, sh:</t>
  </si>
  <si>
    <t>Gümnaasiumid, sh:</t>
  </si>
  <si>
    <t>Täiskasvanute gümnaasiumid, sh:</t>
  </si>
  <si>
    <t>Hariduse abiteenused, sh</t>
  </si>
  <si>
    <t>Eakate sotsiaalhoolekande asutused, sh:</t>
  </si>
  <si>
    <t>Muu sotsiaalsete riskirühmade kaitse, sh:</t>
  </si>
  <si>
    <t>Üür ja rent</t>
  </si>
  <si>
    <t>Avalik kord</t>
  </si>
  <si>
    <t>Saadud mittesihtotstarbelised toetused</t>
  </si>
  <si>
    <t>Põhivara soetuseks saadav sihtfinantseerimine</t>
  </si>
  <si>
    <t>PÕHITEGEVUSE KULUD KOKKU, sh:</t>
  </si>
  <si>
    <t>Investeerimistegevuse kulud objektide ja finantseerimisallikate lõikes</t>
  </si>
  <si>
    <t>TEGEVUSALADE  JA MAJANDUSLIKU SISU JÄRGI</t>
  </si>
  <si>
    <t>Tulud haridusalasest tegevusest</t>
  </si>
  <si>
    <t>Tulud kultuuri- ja kunstialasest tegevusest</t>
  </si>
  <si>
    <t>Tulud sotsiaalabialasest tegevusest</t>
  </si>
  <si>
    <t>Raha ja pangakontode saldo muutus</t>
  </si>
  <si>
    <t xml:space="preserve">     muud tegevuskulud</t>
  </si>
  <si>
    <t xml:space="preserve">     antavad toetused</t>
  </si>
  <si>
    <r>
      <t>LIKVIIDSETE VARADE MUUTUS</t>
    </r>
    <r>
      <rPr>
        <sz val="11"/>
        <rFont val="Times New Roman"/>
        <family val="1"/>
        <charset val="186"/>
      </rPr>
      <t xml:space="preserve">
suurenemine (+), vähenemine (-)</t>
    </r>
  </si>
  <si>
    <t>PVS</t>
  </si>
  <si>
    <t>ASF</t>
  </si>
  <si>
    <t>Emajõe kaldakindlustuse rekonstrueerimine ja jõeäärsete teede korrastamine</t>
  </si>
  <si>
    <t>Ülekatted ja pindamised</t>
  </si>
  <si>
    <t>Kõnniteed</t>
  </si>
  <si>
    <t>Korteriühistute remondifond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</si>
  <si>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</si>
  <si>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Mänguväljaku rajamine</t>
  </si>
  <si>
    <r>
      <t xml:space="preserve">   </t>
    </r>
    <r>
      <rPr>
        <b/>
        <i/>
        <sz val="11"/>
        <rFont val="Times New Roman"/>
        <family val="1"/>
        <charset val="186"/>
      </rPr>
      <t>Laste huvikoolid</t>
    </r>
  </si>
  <si>
    <t>Ventilatsioonide korrastamine lasteaedade köökides</t>
  </si>
  <si>
    <t>Tegevusala ja investeerimisobjekti nimetus</t>
  </si>
  <si>
    <t>tegevus-
ala
kood</t>
  </si>
  <si>
    <t>01</t>
  </si>
  <si>
    <t>01111</t>
  </si>
  <si>
    <t>01112</t>
  </si>
  <si>
    <t>03</t>
  </si>
  <si>
    <t>03600</t>
  </si>
  <si>
    <t>04</t>
  </si>
  <si>
    <t>04510</t>
  </si>
  <si>
    <t>04512</t>
  </si>
  <si>
    <t>04740</t>
  </si>
  <si>
    <t>04900</t>
  </si>
  <si>
    <t>08</t>
  </si>
  <si>
    <t>Tartu Loodusmaja (Lille 10)</t>
  </si>
  <si>
    <t xml:space="preserve">Anne Noortekeskus (Uus 56) </t>
  </si>
  <si>
    <t>Descartes1i Lütseum (Anne 65)</t>
  </si>
  <si>
    <t>Laste ja noorte sotsiaalhoolekande asutused, sh:</t>
  </si>
  <si>
    <t>Riskirühmade sotsiaalhoolekande asutused, sh:</t>
  </si>
  <si>
    <t>08105</t>
  </si>
  <si>
    <t>08106</t>
  </si>
  <si>
    <t>08109</t>
  </si>
  <si>
    <t>08201</t>
  </si>
  <si>
    <t>08202</t>
  </si>
  <si>
    <t>08203</t>
  </si>
  <si>
    <t>08209</t>
  </si>
  <si>
    <t>09</t>
  </si>
  <si>
    <t>09110</t>
  </si>
  <si>
    <t>09220</t>
  </si>
  <si>
    <t>09212</t>
  </si>
  <si>
    <t>09221</t>
  </si>
  <si>
    <t>09601</t>
  </si>
  <si>
    <t>Laste huvikoolid, sh:</t>
  </si>
  <si>
    <t xml:space="preserve">   Usuasutused</t>
  </si>
  <si>
    <t>Kolgata Baptistikoguduse laiendamise projekteerimise toetus</t>
  </si>
  <si>
    <r>
      <t xml:space="preserve">   </t>
    </r>
    <r>
      <rPr>
        <b/>
        <i/>
        <sz val="11"/>
        <rFont val="Times New Roman"/>
        <family val="1"/>
        <charset val="186"/>
      </rPr>
      <t>Laste ja noorte sotsiaalhoolekande asutused</t>
    </r>
  </si>
  <si>
    <t>Laste Turvakodu (Tiigi 55) vee- ja kanalisatsioonuitrasside uuendamine</t>
  </si>
  <si>
    <t>Lasteaed Pääsupesa (Sõpruse pst 12)</t>
  </si>
  <si>
    <t>Lasteaed Piilupesa (Ropka 34))</t>
  </si>
  <si>
    <t>Lasteaed Mõmmik (Mõisavahe 32)</t>
  </si>
  <si>
    <t>Veeriku Kool (Veeriku 41)</t>
  </si>
  <si>
    <r>
      <t xml:space="preserve">   </t>
    </r>
    <r>
      <rPr>
        <b/>
        <i/>
        <sz val="11"/>
        <rFont val="Times New Roman"/>
        <family val="1"/>
        <charset val="186"/>
      </rPr>
      <t>Muu elamu- ja kommunaaltegevus</t>
    </r>
  </si>
  <si>
    <t>Asutusele Kalmistu kahe traktoriharja soetus</t>
  </si>
  <si>
    <t>Asutusele Kalmistu liivapuisturi soetus</t>
  </si>
  <si>
    <t>Tartu Hooldekodule kahe põrandahooldusmasina soetamine</t>
  </si>
  <si>
    <t>tegevusala nimetus</t>
  </si>
  <si>
    <t>Ventilatsioonisüsteemide korrastamine lasteaedades</t>
  </si>
  <si>
    <t>TARTU LINNA 2013. a 
 I LISAEELARVE</t>
  </si>
  <si>
    <t>TARTU LINNA 2013. a I LISAEELARVE</t>
  </si>
  <si>
    <t>TARTU LINNA 2013. a I LISAEELARVE PÕHITEGEVUSE KULUD</t>
  </si>
  <si>
    <t>TARTU LINNA 2013. a I LISAEELARVE 
 INVESTEERIMISTEGEVUSE KULUD</t>
  </si>
  <si>
    <t>Saadud sihtotstarbelised toetused</t>
  </si>
  <si>
    <t xml:space="preserve">   Gümnaasiumid</t>
  </si>
  <si>
    <t xml:space="preserve">   Muu haridus</t>
  </si>
  <si>
    <t xml:space="preserve">   Kutsehariduskeskus</t>
  </si>
  <si>
    <t>Heitkoguse ühikute müügi vahenditest tehtud investeeringute omaosalus</t>
  </si>
  <si>
    <t xml:space="preserve">   Taseme alusel mittemääratletav haridus</t>
  </si>
  <si>
    <t>Põllu 11 territooriumi sadeveekanalisatsiooni väljaehitus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</si>
  <si>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Eakate hoolekandeasutused </t>
    </r>
  </si>
  <si>
    <t>Õppeotstarbeliste seadmete ja masinate soetus</t>
  </si>
  <si>
    <t>Küttesüsteemi rekonstrueerimine ja ettekirjutuste täitmine</t>
  </si>
  <si>
    <t>Põllu 11 parkla ja haljastute ehitus, valgustus ja jäätmete sügavmahutite soetus ja paigaldus</t>
  </si>
  <si>
    <t>Põllu 11 juurdeehituse omafinantseering ja sisustamine</t>
  </si>
  <si>
    <t>05</t>
  </si>
  <si>
    <t>05600</t>
  </si>
  <si>
    <t>06</t>
  </si>
  <si>
    <t>06400</t>
  </si>
  <si>
    <t>06605</t>
  </si>
  <si>
    <t>08207</t>
  </si>
  <si>
    <t>09609</t>
  </si>
  <si>
    <t>09222</t>
  </si>
  <si>
    <t>09500</t>
  </si>
  <si>
    <t>09600</t>
  </si>
  <si>
    <t>09602</t>
  </si>
  <si>
    <t>Muu keskkonnakaitse, sh:</t>
  </si>
  <si>
    <t>Tänavavalgustus, sh:</t>
  </si>
  <si>
    <t>Muud kommunaalteenused, sh:</t>
  </si>
  <si>
    <t>Muinsuskaitse, sh:</t>
  </si>
  <si>
    <t>Kutsehariduskeskus, sh:</t>
  </si>
  <si>
    <t>Taseme alusel mittemääratletav haridus, sh:</t>
  </si>
  <si>
    <t>Koolitransport, sh:</t>
  </si>
  <si>
    <t>Koolitoit, sh:</t>
  </si>
  <si>
    <t>Õpilaskodu, sh:</t>
  </si>
  <si>
    <t>Muu puuetega inimeste sotsiaalne kaitse, sh:</t>
  </si>
  <si>
    <t>Muu perede ja laste sotsiaalne kaitse, sh:</t>
  </si>
  <si>
    <t>Riiklik toimetulekutoetus</t>
  </si>
  <si>
    <t xml:space="preserve">  muud tegevuskulud</t>
  </si>
  <si>
    <t xml:space="preserve">  antavad toetused</t>
  </si>
  <si>
    <t>sh avatud  KOFS § 26 alusel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</si>
</sst>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0" fontId="4" fillId="0" borderId="0" xfId="0" applyFont="1"/>
    <xf numFmtId="3" fontId="3" fillId="0" borderId="2" xfId="0" applyNumberFormat="1" applyFont="1" applyBorder="1"/>
    <xf numFmtId="3" fontId="4" fillId="0" borderId="2" xfId="0" applyNumberFormat="1" applyFont="1" applyBorder="1"/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3" fontId="3" fillId="0" borderId="3" xfId="0" applyNumberFormat="1" applyFont="1" applyBorder="1"/>
    <xf numFmtId="0" fontId="4" fillId="0" borderId="2" xfId="0" applyFont="1" applyFill="1" applyBorder="1" applyAlignment="1">
      <alignment wrapText="1"/>
    </xf>
    <xf numFmtId="0" fontId="6" fillId="0" borderId="0" xfId="0" applyFont="1"/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 applyAlignment="1"/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8" fillId="0" borderId="2" xfId="0" applyNumberFormat="1" applyFont="1" applyFill="1" applyBorder="1"/>
    <xf numFmtId="3" fontId="7" fillId="0" borderId="2" xfId="0" applyNumberFormat="1" applyFont="1" applyFill="1" applyBorder="1"/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3" fontId="10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2" xfId="0" applyFont="1" applyBorder="1" applyAlignment="1"/>
    <xf numFmtId="0" fontId="12" fillId="0" borderId="2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4" fillId="0" borderId="2" xfId="0" applyFont="1" applyFill="1" applyBorder="1" applyAlignment="1">
      <alignment wrapText="1"/>
    </xf>
    <xf numFmtId="3" fontId="7" fillId="2" borderId="2" xfId="0" applyNumberFormat="1" applyFont="1" applyFill="1" applyBorder="1"/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4" fillId="0" borderId="5" xfId="0" applyNumberFormat="1" applyFont="1" applyBorder="1"/>
    <xf numFmtId="0" fontId="4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4" xfId="0" applyFont="1" applyBorder="1"/>
    <xf numFmtId="3" fontId="4" fillId="0" borderId="4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6" xfId="0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4" fillId="0" borderId="2" xfId="0" applyNumberFormat="1" applyFont="1" applyBorder="1"/>
    <xf numFmtId="0" fontId="16" fillId="0" borderId="2" xfId="0" applyFont="1" applyFill="1" applyBorder="1" applyAlignment="1">
      <alignment wrapText="1"/>
    </xf>
    <xf numFmtId="3" fontId="17" fillId="0" borderId="2" xfId="0" applyNumberFormat="1" applyFont="1" applyFill="1" applyBorder="1"/>
    <xf numFmtId="0" fontId="18" fillId="0" borderId="2" xfId="0" applyFont="1" applyBorder="1"/>
    <xf numFmtId="3" fontId="3" fillId="0" borderId="0" xfId="0" applyNumberFormat="1" applyFont="1" applyFill="1"/>
    <xf numFmtId="3" fontId="8" fillId="0" borderId="2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B21" activeCellId="1" sqref="B8 B21"/>
    </sheetView>
  </sheetViews>
  <sheetFormatPr defaultRowHeight="12.75"/>
  <cols>
    <col min="1" max="1" width="47.140625" customWidth="1"/>
    <col min="2" max="2" width="14" customWidth="1"/>
    <col min="4" max="4" width="9.7109375" bestFit="1" customWidth="1"/>
  </cols>
  <sheetData>
    <row r="1" spans="1:2" ht="28.5" customHeight="1">
      <c r="A1" s="97" t="s">
        <v>138</v>
      </c>
      <c r="B1" s="98"/>
    </row>
    <row r="2" spans="1:2" ht="15">
      <c r="A2" s="8"/>
      <c r="B2" s="8"/>
    </row>
    <row r="3" spans="1:2" ht="15">
      <c r="A3" s="83"/>
      <c r="B3" s="84" t="s">
        <v>31</v>
      </c>
    </row>
    <row r="4" spans="1:2" ht="14.25">
      <c r="A4" s="71" t="s">
        <v>22</v>
      </c>
      <c r="B4" s="72">
        <f>SUM(B5:B6)</f>
        <v>2502634.48</v>
      </c>
    </row>
    <row r="5" spans="1:2" ht="15">
      <c r="A5" s="5" t="s">
        <v>0</v>
      </c>
      <c r="B5" s="10">
        <f>'lisa 2 (Tulubaas)'!B6</f>
        <v>467008</v>
      </c>
    </row>
    <row r="6" spans="1:2" ht="15">
      <c r="A6" s="5" t="s">
        <v>23</v>
      </c>
      <c r="B6" s="10">
        <f>'lisa 2 (Tulubaas)'!B11</f>
        <v>2035626.48</v>
      </c>
    </row>
    <row r="7" spans="1:2" ht="15">
      <c r="A7" s="68"/>
      <c r="B7" s="65"/>
    </row>
    <row r="8" spans="1:2" ht="14.25">
      <c r="A8" s="71" t="s">
        <v>24</v>
      </c>
      <c r="B8" s="72">
        <f>SUM(B9:B16)</f>
        <v>2528470</v>
      </c>
    </row>
    <row r="9" spans="1:2" ht="15">
      <c r="A9" s="69" t="s">
        <v>1</v>
      </c>
      <c r="B9" s="70">
        <f>'lisa 3 (põhitegevus)'!C8</f>
        <v>100832</v>
      </c>
    </row>
    <row r="10" spans="1:2" ht="15">
      <c r="A10" s="5" t="s">
        <v>69</v>
      </c>
      <c r="B10" s="10">
        <f>'lisa 3 (põhitegevus)'!C14</f>
        <v>3377</v>
      </c>
    </row>
    <row r="11" spans="1:2" ht="15">
      <c r="A11" s="5" t="s">
        <v>2</v>
      </c>
      <c r="B11" s="10">
        <f>'lisa 3 (põhitegevus)'!C18</f>
        <v>358638</v>
      </c>
    </row>
    <row r="12" spans="1:2" ht="15">
      <c r="A12" s="5" t="s">
        <v>3</v>
      </c>
      <c r="B12" s="10">
        <f>'lisa 3 (põhitegevus)'!C28</f>
        <v>11746</v>
      </c>
    </row>
    <row r="13" spans="1:2" ht="15">
      <c r="A13" s="5" t="s">
        <v>4</v>
      </c>
      <c r="B13" s="10">
        <f>'lisa 3 (põhitegevus)'!C32</f>
        <v>5073</v>
      </c>
    </row>
    <row r="14" spans="1:2" ht="15">
      <c r="A14" s="5" t="s">
        <v>10</v>
      </c>
      <c r="B14" s="10">
        <f>'lisa 3 (põhitegevus)'!C38</f>
        <v>160740</v>
      </c>
    </row>
    <row r="15" spans="1:2" ht="15">
      <c r="A15" s="5" t="s">
        <v>5</v>
      </c>
      <c r="B15" s="10">
        <f>'lisa 3 (põhitegevus)'!C58</f>
        <v>1641672</v>
      </c>
    </row>
    <row r="16" spans="1:2" ht="15">
      <c r="A16" s="5" t="s">
        <v>6</v>
      </c>
      <c r="B16" s="10">
        <f>'lisa 3 (põhitegevus)'!C83</f>
        <v>246392</v>
      </c>
    </row>
    <row r="17" spans="1:4" ht="15">
      <c r="A17" s="68"/>
      <c r="B17" s="65"/>
    </row>
    <row r="18" spans="1:4" ht="14.25">
      <c r="A18" s="71" t="s">
        <v>25</v>
      </c>
      <c r="B18" s="72">
        <f>SUM(B19:B19)</f>
        <v>-46177</v>
      </c>
    </row>
    <row r="19" spans="1:4" ht="15">
      <c r="A19" s="7" t="s">
        <v>71</v>
      </c>
      <c r="B19" s="10">
        <f>'lisa 2 (Tulubaas)'!B16</f>
        <v>-46177</v>
      </c>
    </row>
    <row r="20" spans="1:4" ht="15">
      <c r="A20" s="68"/>
      <c r="B20" s="65"/>
    </row>
    <row r="21" spans="1:4" ht="14.25">
      <c r="A21" s="71" t="s">
        <v>26</v>
      </c>
      <c r="B21" s="72">
        <f>SUM(B22:B27)</f>
        <v>2132694</v>
      </c>
    </row>
    <row r="22" spans="1:4" ht="15">
      <c r="A22" s="5" t="s">
        <v>2</v>
      </c>
      <c r="B22" s="10">
        <f>'Lisa 4 (invest)'!E13</f>
        <v>316347</v>
      </c>
    </row>
    <row r="23" spans="1:4" ht="15">
      <c r="A23" s="5" t="s">
        <v>3</v>
      </c>
      <c r="B23" s="10">
        <f>'Lisa 4 (invest)'!E21</f>
        <v>30000</v>
      </c>
    </row>
    <row r="24" spans="1:4" ht="15">
      <c r="A24" s="5" t="s">
        <v>4</v>
      </c>
      <c r="B24" s="10">
        <f>'Lisa 4 (invest)'!E24</f>
        <v>30000</v>
      </c>
    </row>
    <row r="25" spans="1:4" ht="15">
      <c r="A25" s="5" t="s">
        <v>10</v>
      </c>
      <c r="B25" s="10">
        <f>'Lisa 4 (invest)'!E30</f>
        <v>30984</v>
      </c>
    </row>
    <row r="26" spans="1:4" ht="15">
      <c r="A26" s="5" t="s">
        <v>5</v>
      </c>
      <c r="B26" s="10">
        <f>'Lisa 4 (invest)'!E37</f>
        <v>1716943</v>
      </c>
    </row>
    <row r="27" spans="1:4" ht="15">
      <c r="A27" s="5" t="s">
        <v>6</v>
      </c>
      <c r="B27" s="10">
        <f>'Lisa 4 (invest)'!E59</f>
        <v>8420</v>
      </c>
    </row>
    <row r="28" spans="1:4" ht="15">
      <c r="A28" s="68"/>
      <c r="B28" s="65"/>
    </row>
    <row r="29" spans="1:4" ht="14.25">
      <c r="A29" s="76" t="s">
        <v>30</v>
      </c>
      <c r="B29" s="72">
        <f>B4-B8+B18-B21</f>
        <v>-2204706.52</v>
      </c>
    </row>
    <row r="30" spans="1:4" ht="15">
      <c r="A30" s="73"/>
      <c r="B30" s="74"/>
    </row>
    <row r="31" spans="1:4" ht="30">
      <c r="A31" s="76" t="s">
        <v>81</v>
      </c>
      <c r="B31" s="72">
        <f>SUM('lisa 2 (Tulubaas)'!B18)</f>
        <v>-2204707</v>
      </c>
    </row>
    <row r="32" spans="1:4" ht="15">
      <c r="A32" s="73"/>
      <c r="B32" s="75"/>
      <c r="D32" s="1"/>
    </row>
    <row r="33" spans="1:2" ht="14.25">
      <c r="A33" s="71" t="s">
        <v>7</v>
      </c>
      <c r="B33" s="72">
        <f>B4+B18-B31</f>
        <v>4661164.4800000004</v>
      </c>
    </row>
    <row r="34" spans="1:2">
      <c r="B34" s="2"/>
    </row>
  </sheetData>
  <mergeCells count="1">
    <mergeCell ref="A1:B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.2013. a määruse
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showZeros="0" tabSelected="1" workbookViewId="0">
      <selection activeCell="A2" sqref="A2:C2"/>
    </sheetView>
  </sheetViews>
  <sheetFormatPr defaultRowHeight="14.25"/>
  <cols>
    <col min="1" max="1" width="44.85546875" style="11" customWidth="1"/>
    <col min="2" max="2" width="14.7109375" style="11" customWidth="1"/>
    <col min="3" max="3" width="10.85546875" style="11" bestFit="1" customWidth="1"/>
    <col min="4" max="16384" width="9.140625" style="11"/>
  </cols>
  <sheetData>
    <row r="1" spans="1:3" ht="15">
      <c r="A1" s="98" t="s">
        <v>139</v>
      </c>
      <c r="B1" s="98"/>
      <c r="C1" s="100"/>
    </row>
    <row r="2" spans="1:3" ht="15">
      <c r="A2" s="98" t="s">
        <v>8</v>
      </c>
      <c r="B2" s="98"/>
      <c r="C2" s="100"/>
    </row>
    <row r="3" spans="1:3" ht="15">
      <c r="A3" s="8"/>
      <c r="B3" s="12"/>
    </row>
    <row r="4" spans="1:3" ht="45">
      <c r="A4" s="13"/>
      <c r="B4" s="14" t="s">
        <v>31</v>
      </c>
      <c r="C4" s="96" t="s">
        <v>179</v>
      </c>
    </row>
    <row r="5" spans="1:3" ht="19.5" customHeight="1">
      <c r="A5" s="15" t="s">
        <v>27</v>
      </c>
      <c r="B5" s="16">
        <f>SUM(B6,B11)</f>
        <v>2502634.48</v>
      </c>
      <c r="C5" s="16">
        <f>SUM(C6,C11)</f>
        <v>869356.48</v>
      </c>
    </row>
    <row r="6" spans="1:3">
      <c r="A6" s="3" t="s">
        <v>0</v>
      </c>
      <c r="B6" s="9">
        <f>SUM(B7:B10)</f>
        <v>467008</v>
      </c>
      <c r="C6" s="9">
        <f>SUM(C7:C10)</f>
        <v>4690</v>
      </c>
    </row>
    <row r="7" spans="1:3" ht="15">
      <c r="A7" s="6" t="s">
        <v>75</v>
      </c>
      <c r="B7" s="10">
        <v>250000</v>
      </c>
      <c r="C7" s="21"/>
    </row>
    <row r="8" spans="1:3" ht="15">
      <c r="A8" s="6" t="s">
        <v>76</v>
      </c>
      <c r="B8" s="10">
        <v>3378</v>
      </c>
      <c r="C8" s="21"/>
    </row>
    <row r="9" spans="1:3" ht="15">
      <c r="A9" s="6" t="s">
        <v>77</v>
      </c>
      <c r="B9" s="10">
        <v>13340</v>
      </c>
      <c r="C9" s="21"/>
    </row>
    <row r="10" spans="1:3" ht="15">
      <c r="A10" s="6" t="s">
        <v>68</v>
      </c>
      <c r="B10" s="10">
        <f>4690+195600</f>
        <v>200290</v>
      </c>
      <c r="C10" s="21">
        <v>4690</v>
      </c>
    </row>
    <row r="11" spans="1:3">
      <c r="A11" s="3" t="s">
        <v>28</v>
      </c>
      <c r="B11" s="9">
        <f>SUM(B12:B13)</f>
        <v>2035626.48</v>
      </c>
      <c r="C11" s="9">
        <f>SUM(C12:C13)</f>
        <v>864666.48</v>
      </c>
    </row>
    <row r="12" spans="1:3" ht="15">
      <c r="A12" s="5" t="s">
        <v>142</v>
      </c>
      <c r="B12" s="90">
        <v>478009.48</v>
      </c>
      <c r="C12" s="89">
        <v>478009.48</v>
      </c>
    </row>
    <row r="13" spans="1:3" ht="15">
      <c r="A13" s="6" t="s">
        <v>70</v>
      </c>
      <c r="B13" s="10">
        <f>1170960+386657</f>
        <v>1557617</v>
      </c>
      <c r="C13" s="21">
        <v>386657</v>
      </c>
    </row>
    <row r="14" spans="1:3" ht="15">
      <c r="A14" s="6"/>
      <c r="B14" s="9"/>
      <c r="C14" s="21"/>
    </row>
    <row r="15" spans="1:3" ht="18" customHeight="1">
      <c r="A15" s="3" t="s">
        <v>25</v>
      </c>
      <c r="B15" s="9">
        <f>SUM(B16)</f>
        <v>-46177</v>
      </c>
      <c r="C15" s="21"/>
    </row>
    <row r="16" spans="1:3" ht="15">
      <c r="A16" s="7" t="s">
        <v>71</v>
      </c>
      <c r="B16" s="10">
        <f>-73757+27580</f>
        <v>-46177</v>
      </c>
      <c r="C16" s="21"/>
    </row>
    <row r="17" spans="1:3" ht="15">
      <c r="A17" s="17"/>
      <c r="B17" s="9"/>
      <c r="C17" s="21"/>
    </row>
    <row r="18" spans="1:3">
      <c r="A18" s="3" t="s">
        <v>29</v>
      </c>
      <c r="B18" s="9">
        <f>SUM(B19:B19)</f>
        <v>-2204707</v>
      </c>
      <c r="C18" s="9">
        <f>SUM(C19:C19)</f>
        <v>-1680767</v>
      </c>
    </row>
    <row r="19" spans="1:3" ht="15">
      <c r="A19" s="6" t="s">
        <v>78</v>
      </c>
      <c r="B19" s="10">
        <f>-1680767-523940</f>
        <v>-2204707</v>
      </c>
      <c r="C19" s="21">
        <v>-1680767</v>
      </c>
    </row>
    <row r="20" spans="1:3" ht="15">
      <c r="A20" s="5"/>
      <c r="B20" s="9"/>
      <c r="C20" s="21"/>
    </row>
    <row r="21" spans="1:3">
      <c r="A21" s="3" t="s">
        <v>9</v>
      </c>
      <c r="B21" s="9">
        <f>B5+B15-B18</f>
        <v>4661164.4800000004</v>
      </c>
      <c r="C21" s="9">
        <f>C5+C15-C18</f>
        <v>2550123.48</v>
      </c>
    </row>
    <row r="22" spans="1:3" ht="15">
      <c r="A22" s="18"/>
      <c r="B22" s="18"/>
    </row>
    <row r="23" spans="1:3" ht="27.75" customHeight="1">
      <c r="A23" s="99"/>
      <c r="B23" s="99"/>
    </row>
  </sheetData>
  <mergeCells count="3">
    <mergeCell ref="A23:B23"/>
    <mergeCell ref="A1:C1"/>
    <mergeCell ref="A2:C2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.2013. a määruse
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showZeros="0" zoomScaleNormal="100" workbookViewId="0">
      <selection activeCell="D4" sqref="D4"/>
    </sheetView>
  </sheetViews>
  <sheetFormatPr defaultRowHeight="15"/>
  <cols>
    <col min="1" max="1" width="8.140625" style="77" bestFit="1" customWidth="1"/>
    <col min="2" max="2" width="44.7109375" style="8" bestFit="1" customWidth="1"/>
    <col min="3" max="3" width="12.7109375" style="21" customWidth="1"/>
    <col min="4" max="4" width="14" style="21" customWidth="1"/>
    <col min="5" max="16384" width="9.140625" style="8"/>
  </cols>
  <sheetData>
    <row r="1" spans="1:4" ht="15" customHeight="1">
      <c r="A1" s="98" t="s">
        <v>140</v>
      </c>
      <c r="B1" s="100"/>
      <c r="C1" s="100"/>
      <c r="D1" s="100"/>
    </row>
    <row r="2" spans="1:4">
      <c r="B2" s="98" t="s">
        <v>74</v>
      </c>
      <c r="C2" s="98"/>
    </row>
    <row r="3" spans="1:4">
      <c r="C3" s="12"/>
    </row>
    <row r="4" spans="1:4" ht="45">
      <c r="A4" s="66" t="s">
        <v>93</v>
      </c>
      <c r="B4" s="13" t="s">
        <v>136</v>
      </c>
      <c r="C4" s="14" t="s">
        <v>31</v>
      </c>
      <c r="D4" s="96" t="s">
        <v>179</v>
      </c>
    </row>
    <row r="5" spans="1:4">
      <c r="A5" s="78"/>
      <c r="B5" s="15" t="s">
        <v>72</v>
      </c>
      <c r="C5" s="67">
        <f>SUM(C6:C7)</f>
        <v>2528470</v>
      </c>
      <c r="D5" s="67">
        <f>SUM(D6:D7)</f>
        <v>1225957</v>
      </c>
    </row>
    <row r="6" spans="1:4">
      <c r="A6" s="79"/>
      <c r="B6" s="3" t="s">
        <v>43</v>
      </c>
      <c r="C6" s="19">
        <f>SUMIF($B$9:$B$115,$B$42,C$9:C$115)</f>
        <v>211623</v>
      </c>
      <c r="D6" s="19">
        <f>SUMIF($B$9:$B$115,$B$42,D$9:D$115)</f>
        <v>129906</v>
      </c>
    </row>
    <row r="7" spans="1:4">
      <c r="A7" s="79"/>
      <c r="B7" s="3" t="s">
        <v>44</v>
      </c>
      <c r="C7" s="19">
        <f>SUMIF($B$9:$B$115,$B11,C$9:C$115)</f>
        <v>2316847</v>
      </c>
      <c r="D7" s="19">
        <f>SUMIF($B$9:$B$115,$B11,D$9:D$115)</f>
        <v>1096051</v>
      </c>
    </row>
    <row r="8" spans="1:4">
      <c r="A8" s="80" t="s">
        <v>94</v>
      </c>
      <c r="B8" s="3" t="s">
        <v>41</v>
      </c>
      <c r="C8" s="19">
        <f>SUM(C10,C12)</f>
        <v>100832</v>
      </c>
      <c r="D8" s="19">
        <f>SUM(D10,D12)</f>
        <v>11758</v>
      </c>
    </row>
    <row r="9" spans="1:4">
      <c r="A9" s="79"/>
      <c r="B9" s="3" t="s">
        <v>177</v>
      </c>
      <c r="C9" s="19">
        <f>SUM(C11,C13)</f>
        <v>100832</v>
      </c>
      <c r="D9" s="19">
        <f>SUM(D11,D13)</f>
        <v>11758</v>
      </c>
    </row>
    <row r="10" spans="1:4">
      <c r="A10" s="81" t="s">
        <v>95</v>
      </c>
      <c r="B10" s="5" t="s">
        <v>45</v>
      </c>
      <c r="C10" s="20">
        <f>C11</f>
        <v>398</v>
      </c>
      <c r="D10" s="10"/>
    </row>
    <row r="11" spans="1:4">
      <c r="A11" s="79"/>
      <c r="B11" s="5" t="s">
        <v>79</v>
      </c>
      <c r="C11" s="20">
        <v>398</v>
      </c>
      <c r="D11" s="10"/>
    </row>
    <row r="12" spans="1:4">
      <c r="A12" s="81" t="s">
        <v>96</v>
      </c>
      <c r="B12" s="5" t="s">
        <v>42</v>
      </c>
      <c r="C12" s="20">
        <f>C13</f>
        <v>100434</v>
      </c>
      <c r="D12" s="10">
        <f>SUM(D13)</f>
        <v>11758</v>
      </c>
    </row>
    <row r="13" spans="1:4">
      <c r="A13" s="79"/>
      <c r="B13" s="5" t="s">
        <v>79</v>
      </c>
      <c r="C13" s="20">
        <f>-20000+108676+11758</f>
        <v>100434</v>
      </c>
      <c r="D13" s="10">
        <v>11758</v>
      </c>
    </row>
    <row r="14" spans="1:4">
      <c r="A14" s="80" t="s">
        <v>97</v>
      </c>
      <c r="B14" s="3" t="s">
        <v>46</v>
      </c>
      <c r="C14" s="19">
        <f>SUM(C15:C15)</f>
        <v>3377</v>
      </c>
      <c r="D14" s="19">
        <f>SUM(D15:D15)</f>
        <v>0</v>
      </c>
    </row>
    <row r="15" spans="1:4">
      <c r="A15" s="79"/>
      <c r="B15" s="3" t="s">
        <v>177</v>
      </c>
      <c r="C15" s="19">
        <f>C17</f>
        <v>3377</v>
      </c>
      <c r="D15" s="19">
        <f>D17</f>
        <v>0</v>
      </c>
    </row>
    <row r="16" spans="1:4">
      <c r="A16" s="81" t="s">
        <v>98</v>
      </c>
      <c r="B16" s="5" t="s">
        <v>47</v>
      </c>
      <c r="C16" s="20">
        <f>SUM(C17:C17)</f>
        <v>3377</v>
      </c>
      <c r="D16" s="20">
        <f>SUM(D17:D17)</f>
        <v>0</v>
      </c>
    </row>
    <row r="17" spans="1:4">
      <c r="A17" s="79"/>
      <c r="B17" s="5" t="s">
        <v>79</v>
      </c>
      <c r="C17" s="20">
        <v>3377</v>
      </c>
      <c r="D17" s="10"/>
    </row>
    <row r="18" spans="1:4">
      <c r="A18" s="80" t="s">
        <v>99</v>
      </c>
      <c r="B18" s="3" t="s">
        <v>52</v>
      </c>
      <c r="C18" s="19">
        <f>SUM(C19:C19)</f>
        <v>358638</v>
      </c>
      <c r="D18" s="19">
        <f>SUM(D19:D19)</f>
        <v>0</v>
      </c>
    </row>
    <row r="19" spans="1:4">
      <c r="A19" s="79"/>
      <c r="B19" s="3" t="s">
        <v>177</v>
      </c>
      <c r="C19" s="19">
        <f>SUMIF(B20:B27,B17,C20:C27)</f>
        <v>358638</v>
      </c>
      <c r="D19" s="19">
        <f>SUMIF(C20:C27,C17,D20:D27)</f>
        <v>0</v>
      </c>
    </row>
    <row r="20" spans="1:4">
      <c r="A20" s="81" t="s">
        <v>100</v>
      </c>
      <c r="B20" s="5" t="s">
        <v>48</v>
      </c>
      <c r="C20" s="20">
        <f>SUM(C21:C21)</f>
        <v>150000</v>
      </c>
      <c r="D20" s="20">
        <f>SUM(D21:D21)</f>
        <v>0</v>
      </c>
    </row>
    <row r="21" spans="1:4">
      <c r="A21" s="79"/>
      <c r="B21" s="5" t="s">
        <v>79</v>
      </c>
      <c r="C21" s="20">
        <v>150000</v>
      </c>
      <c r="D21" s="10"/>
    </row>
    <row r="22" spans="1:4">
      <c r="A22" s="81" t="s">
        <v>101</v>
      </c>
      <c r="B22" s="5" t="s">
        <v>49</v>
      </c>
      <c r="C22" s="20">
        <f>SUM(C23:C23)</f>
        <v>2000</v>
      </c>
      <c r="D22" s="20">
        <f>SUM(D23:D23)</f>
        <v>0</v>
      </c>
    </row>
    <row r="23" spans="1:4">
      <c r="A23" s="79"/>
      <c r="B23" s="5" t="s">
        <v>79</v>
      </c>
      <c r="C23" s="20">
        <v>2000</v>
      </c>
      <c r="D23" s="10"/>
    </row>
    <row r="24" spans="1:4">
      <c r="A24" s="81" t="s">
        <v>102</v>
      </c>
      <c r="B24" s="5" t="s">
        <v>50</v>
      </c>
      <c r="C24" s="20">
        <f>SUM(C25:C25)</f>
        <v>41638</v>
      </c>
      <c r="D24" s="20">
        <f>SUM(D25:D25)</f>
        <v>0</v>
      </c>
    </row>
    <row r="25" spans="1:4">
      <c r="A25" s="79"/>
      <c r="B25" s="5" t="s">
        <v>79</v>
      </c>
      <c r="C25" s="20">
        <f>4774+57747-20883</f>
        <v>41638</v>
      </c>
      <c r="D25" s="10"/>
    </row>
    <row r="26" spans="1:4">
      <c r="A26" s="81" t="s">
        <v>103</v>
      </c>
      <c r="B26" s="5" t="s">
        <v>51</v>
      </c>
      <c r="C26" s="20">
        <f>SUM(C27:C27)</f>
        <v>165000</v>
      </c>
      <c r="D26" s="20">
        <f>SUM(D27:D27)</f>
        <v>0</v>
      </c>
    </row>
    <row r="27" spans="1:4">
      <c r="A27" s="79"/>
      <c r="B27" s="5" t="s">
        <v>79</v>
      </c>
      <c r="C27" s="20">
        <f>79000+86000</f>
        <v>165000</v>
      </c>
      <c r="D27" s="10"/>
    </row>
    <row r="28" spans="1:4">
      <c r="A28" s="80" t="s">
        <v>154</v>
      </c>
      <c r="B28" s="3" t="s">
        <v>3</v>
      </c>
      <c r="C28" s="19">
        <f>SUM(C30)</f>
        <v>11746</v>
      </c>
      <c r="D28" s="19">
        <f>SUM(D30)</f>
        <v>11746</v>
      </c>
    </row>
    <row r="29" spans="1:4">
      <c r="A29" s="80"/>
      <c r="B29" s="3" t="s">
        <v>177</v>
      </c>
      <c r="C29" s="19">
        <f>SUM(C31)</f>
        <v>11746</v>
      </c>
      <c r="D29" s="19">
        <f>SUM(D31)</f>
        <v>11746</v>
      </c>
    </row>
    <row r="30" spans="1:4">
      <c r="A30" s="81" t="s">
        <v>155</v>
      </c>
      <c r="B30" s="5" t="s">
        <v>165</v>
      </c>
      <c r="C30" s="20">
        <f>SUM(C31)</f>
        <v>11746</v>
      </c>
      <c r="D30" s="20">
        <f>SUM(D31)</f>
        <v>11746</v>
      </c>
    </row>
    <row r="31" spans="1:4">
      <c r="A31" s="79"/>
      <c r="B31" s="5" t="s">
        <v>79</v>
      </c>
      <c r="C31" s="20">
        <v>11746</v>
      </c>
      <c r="D31" s="10">
        <v>11746</v>
      </c>
    </row>
    <row r="32" spans="1:4">
      <c r="A32" s="80" t="s">
        <v>156</v>
      </c>
      <c r="B32" s="4" t="s">
        <v>4</v>
      </c>
      <c r="C32" s="19">
        <f>SUM(C33)</f>
        <v>5073</v>
      </c>
      <c r="D32" s="19">
        <f>SUM(D33)</f>
        <v>5073</v>
      </c>
    </row>
    <row r="33" spans="1:4">
      <c r="A33" s="79"/>
      <c r="B33" s="3" t="s">
        <v>177</v>
      </c>
      <c r="C33" s="19">
        <f>SUM(C35,C37)</f>
        <v>5073</v>
      </c>
      <c r="D33" s="19">
        <f>SUM(D35,D37)</f>
        <v>5073</v>
      </c>
    </row>
    <row r="34" spans="1:4">
      <c r="A34" s="81" t="s">
        <v>157</v>
      </c>
      <c r="B34" s="5" t="s">
        <v>166</v>
      </c>
      <c r="C34" s="20">
        <f>SUM(C35)</f>
        <v>4690</v>
      </c>
      <c r="D34" s="20">
        <f>SUM(D35)</f>
        <v>4690</v>
      </c>
    </row>
    <row r="35" spans="1:4">
      <c r="A35" s="79"/>
      <c r="B35" s="5" t="s">
        <v>79</v>
      </c>
      <c r="C35" s="20">
        <v>4690</v>
      </c>
      <c r="D35" s="10">
        <v>4690</v>
      </c>
    </row>
    <row r="36" spans="1:4">
      <c r="A36" s="81" t="s">
        <v>158</v>
      </c>
      <c r="B36" s="5" t="s">
        <v>167</v>
      </c>
      <c r="C36" s="20">
        <f>SUM(C37)</f>
        <v>383</v>
      </c>
      <c r="D36" s="20">
        <f>SUM(D37)</f>
        <v>383</v>
      </c>
    </row>
    <row r="37" spans="1:4">
      <c r="A37" s="79"/>
      <c r="B37" s="5" t="s">
        <v>79</v>
      </c>
      <c r="C37" s="20">
        <v>383</v>
      </c>
      <c r="D37" s="10">
        <v>383</v>
      </c>
    </row>
    <row r="38" spans="1:4">
      <c r="A38" s="80" t="s">
        <v>104</v>
      </c>
      <c r="B38" s="3" t="s">
        <v>53</v>
      </c>
      <c r="C38" s="19">
        <f>SUM(C39:C40)</f>
        <v>160740</v>
      </c>
      <c r="D38" s="19">
        <f>SUM(D39:D40)</f>
        <v>17216</v>
      </c>
    </row>
    <row r="39" spans="1:4">
      <c r="A39" s="79"/>
      <c r="B39" s="3" t="s">
        <v>178</v>
      </c>
      <c r="C39" s="19">
        <f>SUMIF($B41:$B57,$B57,C41:C57)</f>
        <v>81717</v>
      </c>
      <c r="D39" s="19">
        <f>SUMIF($B41:$B57,$B57,D41:D57)</f>
        <v>0</v>
      </c>
    </row>
    <row r="40" spans="1:4">
      <c r="A40" s="79"/>
      <c r="B40" s="3" t="s">
        <v>177</v>
      </c>
      <c r="C40" s="19">
        <f>SUMIF($B41:$B57,$B43,C41:C57)</f>
        <v>79023</v>
      </c>
      <c r="D40" s="19">
        <f>SUMIF($B41:$B57,$B43,D41:D57)</f>
        <v>17216</v>
      </c>
    </row>
    <row r="41" spans="1:4">
      <c r="A41" s="81" t="s">
        <v>110</v>
      </c>
      <c r="B41" s="5" t="s">
        <v>123</v>
      </c>
      <c r="C41" s="20">
        <f>SUM(C42:C43)</f>
        <v>72180</v>
      </c>
      <c r="D41" s="20">
        <f>SUM(D42:D43)</f>
        <v>522</v>
      </c>
    </row>
    <row r="42" spans="1:4">
      <c r="A42" s="79"/>
      <c r="B42" s="5" t="s">
        <v>80</v>
      </c>
      <c r="C42" s="20">
        <v>60000</v>
      </c>
      <c r="D42" s="10"/>
    </row>
    <row r="43" spans="1:4">
      <c r="A43" s="79"/>
      <c r="B43" s="5" t="s">
        <v>79</v>
      </c>
      <c r="C43" s="20">
        <f>3378+2966+3113+2201+522</f>
        <v>12180</v>
      </c>
      <c r="D43" s="10">
        <v>522</v>
      </c>
    </row>
    <row r="44" spans="1:4">
      <c r="A44" s="81" t="s">
        <v>111</v>
      </c>
      <c r="B44" s="5" t="s">
        <v>54</v>
      </c>
      <c r="C44" s="20">
        <f>SUM(C45:C45)</f>
        <v>24036</v>
      </c>
      <c r="D44" s="20">
        <f>SUM(D45:D45)</f>
        <v>9360</v>
      </c>
    </row>
    <row r="45" spans="1:4">
      <c r="A45" s="79"/>
      <c r="B45" s="5" t="s">
        <v>79</v>
      </c>
      <c r="C45" s="20">
        <f>5100+8588+988+9360</f>
        <v>24036</v>
      </c>
      <c r="D45" s="10">
        <v>9360</v>
      </c>
    </row>
    <row r="46" spans="1:4">
      <c r="A46" s="81" t="s">
        <v>112</v>
      </c>
      <c r="B46" s="5" t="s">
        <v>55</v>
      </c>
      <c r="C46" s="20">
        <f>SUM(C47:C47)</f>
        <v>5000</v>
      </c>
      <c r="D46" s="20">
        <f>SUM(D47:D47)</f>
        <v>0</v>
      </c>
    </row>
    <row r="47" spans="1:4">
      <c r="A47" s="79"/>
      <c r="B47" s="5" t="s">
        <v>80</v>
      </c>
      <c r="C47" s="20">
        <v>5000</v>
      </c>
      <c r="D47" s="10"/>
    </row>
    <row r="48" spans="1:4">
      <c r="A48" s="81" t="s">
        <v>113</v>
      </c>
      <c r="B48" s="5" t="s">
        <v>56</v>
      </c>
      <c r="C48" s="20">
        <f>SUM(C49:C49)</f>
        <v>2463</v>
      </c>
      <c r="D48" s="20">
        <f>SUM(D49:D49)</f>
        <v>658</v>
      </c>
    </row>
    <row r="49" spans="1:4">
      <c r="A49" s="79"/>
      <c r="B49" s="5" t="s">
        <v>79</v>
      </c>
      <c r="C49" s="20">
        <f>197+1608+658</f>
        <v>2463</v>
      </c>
      <c r="D49" s="10">
        <v>658</v>
      </c>
    </row>
    <row r="50" spans="1:4">
      <c r="A50" s="81" t="s">
        <v>114</v>
      </c>
      <c r="B50" s="5" t="s">
        <v>57</v>
      </c>
      <c r="C50" s="20">
        <f>SUM(C51:C51)</f>
        <v>3065</v>
      </c>
      <c r="D50" s="20">
        <f>SUM(D51:D51)</f>
        <v>2465</v>
      </c>
    </row>
    <row r="51" spans="1:4">
      <c r="A51" s="79"/>
      <c r="B51" s="5" t="s">
        <v>79</v>
      </c>
      <c r="C51" s="20">
        <f>106+494+2465</f>
        <v>3065</v>
      </c>
      <c r="D51" s="10">
        <v>2465</v>
      </c>
    </row>
    <row r="52" spans="1:4">
      <c r="A52" s="81" t="s">
        <v>115</v>
      </c>
      <c r="B52" s="5" t="s">
        <v>58</v>
      </c>
      <c r="C52" s="20">
        <f>SUM(C53:C53)</f>
        <v>35109</v>
      </c>
      <c r="D52" s="20">
        <f>SUM(D53:D53)</f>
        <v>2041</v>
      </c>
    </row>
    <row r="53" spans="1:4">
      <c r="A53" s="79"/>
      <c r="B53" s="5" t="s">
        <v>79</v>
      </c>
      <c r="C53" s="20">
        <f>29434+3634+2041</f>
        <v>35109</v>
      </c>
      <c r="D53" s="10">
        <v>2041</v>
      </c>
    </row>
    <row r="54" spans="1:4">
      <c r="A54" s="81" t="s">
        <v>159</v>
      </c>
      <c r="B54" s="5" t="s">
        <v>168</v>
      </c>
      <c r="C54" s="20">
        <f>SUM(C55)</f>
        <v>2170</v>
      </c>
      <c r="D54" s="20">
        <f>SUM(D55)</f>
        <v>2170</v>
      </c>
    </row>
    <row r="55" spans="1:4">
      <c r="A55" s="79"/>
      <c r="B55" s="5" t="s">
        <v>79</v>
      </c>
      <c r="C55" s="20">
        <v>2170</v>
      </c>
      <c r="D55" s="10">
        <v>2170</v>
      </c>
    </row>
    <row r="56" spans="1:4">
      <c r="A56" s="81" t="s">
        <v>116</v>
      </c>
      <c r="B56" s="5" t="s">
        <v>59</v>
      </c>
      <c r="C56" s="20">
        <f>SUM(C57:C57)</f>
        <v>16717</v>
      </c>
      <c r="D56" s="20">
        <f>SUM(D57:D57)</f>
        <v>0</v>
      </c>
    </row>
    <row r="57" spans="1:4">
      <c r="A57" s="79"/>
      <c r="B57" s="5" t="s">
        <v>80</v>
      </c>
      <c r="C57" s="20">
        <v>16717</v>
      </c>
      <c r="D57" s="10"/>
    </row>
    <row r="58" spans="1:4">
      <c r="A58" s="80" t="s">
        <v>117</v>
      </c>
      <c r="B58" s="3" t="s">
        <v>60</v>
      </c>
      <c r="C58" s="19">
        <f>SUM(C59:C60)</f>
        <v>1641672</v>
      </c>
      <c r="D58" s="19">
        <f>SUM(D59:D60)</f>
        <v>993810</v>
      </c>
    </row>
    <row r="59" spans="1:4">
      <c r="A59" s="79"/>
      <c r="B59" s="3" t="s">
        <v>177</v>
      </c>
      <c r="C59" s="19">
        <f>SUMIF($B61:$B82,$B62,C61:C82)</f>
        <v>1630184</v>
      </c>
      <c r="D59" s="19">
        <f>SUMIF($B61:$B82,$B62,D61:D82)</f>
        <v>982322</v>
      </c>
    </row>
    <row r="60" spans="1:4">
      <c r="A60" s="79"/>
      <c r="B60" s="3" t="s">
        <v>178</v>
      </c>
      <c r="C60" s="19">
        <f>SUMIF($B61:$B82,$B57,C61:C82)</f>
        <v>11488</v>
      </c>
      <c r="D60" s="19">
        <f>SUMIF($B61:$B82,$B57,D61:D82)</f>
        <v>11488</v>
      </c>
    </row>
    <row r="61" spans="1:4">
      <c r="A61" s="81" t="s">
        <v>118</v>
      </c>
      <c r="B61" s="5" t="s">
        <v>61</v>
      </c>
      <c r="C61" s="20">
        <f>SUM(C62:C62)</f>
        <v>304636</v>
      </c>
      <c r="D61" s="20">
        <f>SUM(D62:D62)</f>
        <v>11308</v>
      </c>
    </row>
    <row r="62" spans="1:4">
      <c r="A62" s="79"/>
      <c r="B62" s="5" t="s">
        <v>79</v>
      </c>
      <c r="C62" s="20">
        <f>238328+66000-11000+11308</f>
        <v>304636</v>
      </c>
      <c r="D62" s="10">
        <v>11308</v>
      </c>
    </row>
    <row r="63" spans="1:4">
      <c r="A63" s="81" t="s">
        <v>120</v>
      </c>
      <c r="B63" s="5" t="s">
        <v>62</v>
      </c>
      <c r="C63" s="20">
        <f>SUM(C64:C64)</f>
        <v>286951</v>
      </c>
      <c r="D63" s="20">
        <f>SUM(D64:D64)</f>
        <v>215527</v>
      </c>
    </row>
    <row r="64" spans="1:4">
      <c r="A64" s="79"/>
      <c r="B64" s="5" t="s">
        <v>79</v>
      </c>
      <c r="C64" s="20">
        <f>71424+215527</f>
        <v>286951</v>
      </c>
      <c r="D64" s="10">
        <v>215527</v>
      </c>
    </row>
    <row r="65" spans="1:4">
      <c r="A65" s="81" t="s">
        <v>119</v>
      </c>
      <c r="B65" s="5" t="s">
        <v>63</v>
      </c>
      <c r="C65" s="20">
        <f>SUM(C66:C66)</f>
        <v>644950</v>
      </c>
      <c r="D65" s="20">
        <f>SUM(D66:D66)</f>
        <v>381873</v>
      </c>
    </row>
    <row r="66" spans="1:4">
      <c r="A66" s="79"/>
      <c r="B66" s="5" t="s">
        <v>79</v>
      </c>
      <c r="C66" s="20">
        <f>229630+33456-9+381873</f>
        <v>644950</v>
      </c>
      <c r="D66" s="10">
        <v>381873</v>
      </c>
    </row>
    <row r="67" spans="1:4">
      <c r="A67" s="81" t="s">
        <v>121</v>
      </c>
      <c r="B67" s="5" t="s">
        <v>64</v>
      </c>
      <c r="C67" s="20">
        <f>SUM(C68:C68)</f>
        <v>-29810</v>
      </c>
      <c r="D67" s="20">
        <f>SUM(D68:D68)</f>
        <v>-41413</v>
      </c>
    </row>
    <row r="68" spans="1:4">
      <c r="A68" s="79"/>
      <c r="B68" s="5" t="s">
        <v>79</v>
      </c>
      <c r="C68" s="20">
        <f>11603-41413</f>
        <v>-29810</v>
      </c>
      <c r="D68" s="10">
        <v>-41413</v>
      </c>
    </row>
    <row r="69" spans="1:4">
      <c r="A69" s="81" t="s">
        <v>161</v>
      </c>
      <c r="B69" s="5" t="s">
        <v>169</v>
      </c>
      <c r="C69" s="20">
        <f>SUM(C70,C71)</f>
        <v>366350</v>
      </c>
      <c r="D69" s="20">
        <f>SUM(D70,D71)</f>
        <v>366350</v>
      </c>
    </row>
    <row r="70" spans="1:4">
      <c r="A70" s="79"/>
      <c r="B70" s="5" t="s">
        <v>79</v>
      </c>
      <c r="C70" s="20">
        <v>327674</v>
      </c>
      <c r="D70" s="10">
        <v>327674</v>
      </c>
    </row>
    <row r="71" spans="1:4">
      <c r="A71" s="79"/>
      <c r="B71" s="5" t="s">
        <v>80</v>
      </c>
      <c r="C71" s="20">
        <v>38676</v>
      </c>
      <c r="D71" s="10">
        <v>38676</v>
      </c>
    </row>
    <row r="72" spans="1:4">
      <c r="A72" s="81" t="s">
        <v>162</v>
      </c>
      <c r="B72" s="5" t="s">
        <v>170</v>
      </c>
      <c r="C72" s="20">
        <f>SUM(C73)</f>
        <v>681</v>
      </c>
      <c r="D72" s="20">
        <f>SUM(D73)</f>
        <v>681</v>
      </c>
    </row>
    <row r="73" spans="1:4">
      <c r="A73" s="79"/>
      <c r="B73" s="5" t="s">
        <v>79</v>
      </c>
      <c r="C73" s="20">
        <v>681</v>
      </c>
      <c r="D73" s="10">
        <v>681</v>
      </c>
    </row>
    <row r="74" spans="1:4">
      <c r="A74" s="81" t="s">
        <v>163</v>
      </c>
      <c r="B74" s="5" t="s">
        <v>171</v>
      </c>
      <c r="C74" s="20">
        <f>SUM(C75)</f>
        <v>22020</v>
      </c>
      <c r="D74" s="20">
        <f>SUM(D75)</f>
        <v>22020</v>
      </c>
    </row>
    <row r="75" spans="1:4">
      <c r="A75" s="79"/>
      <c r="B75" s="5" t="s">
        <v>80</v>
      </c>
      <c r="C75" s="20">
        <v>22020</v>
      </c>
      <c r="D75" s="10">
        <v>22020</v>
      </c>
    </row>
    <row r="76" spans="1:4">
      <c r="A76" s="81" t="s">
        <v>122</v>
      </c>
      <c r="B76" s="5" t="s">
        <v>172</v>
      </c>
      <c r="C76" s="20">
        <f>SUM(C77:C78)</f>
        <v>-51603</v>
      </c>
      <c r="D76" s="20">
        <f>SUM(D77:D78)</f>
        <v>-51603</v>
      </c>
    </row>
    <row r="77" spans="1:4">
      <c r="A77" s="81"/>
      <c r="B77" s="5" t="s">
        <v>79</v>
      </c>
      <c r="C77" s="20">
        <v>-2395</v>
      </c>
      <c r="D77" s="10">
        <v>-2395</v>
      </c>
    </row>
    <row r="78" spans="1:4">
      <c r="A78" s="81"/>
      <c r="B78" s="5" t="s">
        <v>80</v>
      </c>
      <c r="C78" s="20">
        <v>-49208</v>
      </c>
      <c r="D78" s="10">
        <v>-49208</v>
      </c>
    </row>
    <row r="79" spans="1:4">
      <c r="A79" s="81" t="s">
        <v>164</v>
      </c>
      <c r="B79" s="5" t="s">
        <v>173</v>
      </c>
      <c r="C79" s="20">
        <f>SUM(C80)</f>
        <v>-1200</v>
      </c>
      <c r="D79" s="20">
        <f>SUM(D80)</f>
        <v>-1200</v>
      </c>
    </row>
    <row r="80" spans="1:4">
      <c r="A80" s="79"/>
      <c r="B80" s="5" t="s">
        <v>79</v>
      </c>
      <c r="C80" s="20">
        <v>-1200</v>
      </c>
      <c r="D80" s="10">
        <v>-1200</v>
      </c>
    </row>
    <row r="81" spans="1:5">
      <c r="A81" s="81" t="s">
        <v>160</v>
      </c>
      <c r="B81" s="5" t="s">
        <v>65</v>
      </c>
      <c r="C81" s="20">
        <f>SUM(C82:C82)</f>
        <v>98697</v>
      </c>
      <c r="D81" s="20">
        <f>SUM(D82:D82)</f>
        <v>90267</v>
      </c>
    </row>
    <row r="82" spans="1:5">
      <c r="A82" s="79"/>
      <c r="B82" s="5" t="s">
        <v>79</v>
      </c>
      <c r="C82" s="20">
        <f>8430+90267</f>
        <v>98697</v>
      </c>
      <c r="D82" s="10">
        <v>90267</v>
      </c>
    </row>
    <row r="83" spans="1:5">
      <c r="A83" s="82">
        <v>10</v>
      </c>
      <c r="B83" s="3" t="s">
        <v>6</v>
      </c>
      <c r="C83" s="19">
        <f>SUM(C84:C85)</f>
        <v>246392</v>
      </c>
      <c r="D83" s="19">
        <f>SUM(D84:D85)</f>
        <v>186354</v>
      </c>
    </row>
    <row r="84" spans="1:5">
      <c r="A84" s="79"/>
      <c r="B84" s="3" t="s">
        <v>177</v>
      </c>
      <c r="C84" s="19">
        <f>SUMIF($B86:$B101,$B90,C86:C101)</f>
        <v>127974</v>
      </c>
      <c r="D84" s="19">
        <f>SUMIF($B86:$B101,$B90,D86:D101)</f>
        <v>67936</v>
      </c>
    </row>
    <row r="85" spans="1:5">
      <c r="A85" s="79"/>
      <c r="B85" s="3" t="s">
        <v>178</v>
      </c>
      <c r="C85" s="19">
        <f>SUMIF($B86:$B101,$B88,C86:C101)</f>
        <v>118418</v>
      </c>
      <c r="D85" s="19">
        <f>SUMIF($B86:$B101,$B88,D86:D101)</f>
        <v>118418</v>
      </c>
    </row>
    <row r="86" spans="1:5">
      <c r="A86" s="79">
        <v>10121</v>
      </c>
      <c r="B86" s="5" t="s">
        <v>174</v>
      </c>
      <c r="C86" s="20">
        <f>SUM(C87:C88)</f>
        <v>94278</v>
      </c>
      <c r="D86" s="20">
        <f>SUM(D87:D88)</f>
        <v>94278</v>
      </c>
    </row>
    <row r="87" spans="1:5">
      <c r="A87" s="79"/>
      <c r="B87" s="5" t="s">
        <v>79</v>
      </c>
      <c r="C87" s="20">
        <v>60164</v>
      </c>
      <c r="D87" s="10">
        <v>60164</v>
      </c>
    </row>
    <row r="88" spans="1:5">
      <c r="A88" s="79"/>
      <c r="B88" s="5" t="s">
        <v>80</v>
      </c>
      <c r="C88" s="20">
        <v>34114</v>
      </c>
      <c r="D88" s="10">
        <v>34114</v>
      </c>
    </row>
    <row r="89" spans="1:5">
      <c r="A89" s="79">
        <v>10200</v>
      </c>
      <c r="B89" s="5" t="s">
        <v>66</v>
      </c>
      <c r="C89" s="20">
        <f>SUM(C90:C90)</f>
        <v>39043</v>
      </c>
      <c r="D89" s="20">
        <f>SUM(D90:D90)</f>
        <v>0</v>
      </c>
    </row>
    <row r="90" spans="1:5">
      <c r="A90" s="79"/>
      <c r="B90" s="5" t="s">
        <v>79</v>
      </c>
      <c r="C90" s="20">
        <f>12000+7666+24797-5420</f>
        <v>39043</v>
      </c>
      <c r="D90" s="10"/>
      <c r="E90" s="21"/>
    </row>
    <row r="91" spans="1:5">
      <c r="A91" s="79">
        <v>10400</v>
      </c>
      <c r="B91" s="5" t="s">
        <v>108</v>
      </c>
      <c r="C91" s="20">
        <f>SUM(C92:C92)</f>
        <v>6237</v>
      </c>
      <c r="D91" s="20">
        <f>SUM(D92:D92)</f>
        <v>0</v>
      </c>
    </row>
    <row r="92" spans="1:5">
      <c r="A92" s="79"/>
      <c r="B92" s="5" t="s">
        <v>79</v>
      </c>
      <c r="C92" s="20">
        <f>5543+694</f>
        <v>6237</v>
      </c>
      <c r="D92" s="10"/>
    </row>
    <row r="93" spans="1:5">
      <c r="A93" s="79">
        <v>10402</v>
      </c>
      <c r="B93" s="5" t="s">
        <v>175</v>
      </c>
      <c r="C93" s="20">
        <f>SUM(C94)</f>
        <v>129839</v>
      </c>
      <c r="D93" s="20">
        <f>SUM(D94)</f>
        <v>129839</v>
      </c>
    </row>
    <row r="94" spans="1:5">
      <c r="A94" s="79"/>
      <c r="B94" s="5" t="s">
        <v>80</v>
      </c>
      <c r="C94" s="20">
        <v>129839</v>
      </c>
      <c r="D94" s="10">
        <v>129839</v>
      </c>
    </row>
    <row r="95" spans="1:5">
      <c r="A95" s="79">
        <v>10700</v>
      </c>
      <c r="B95" s="5" t="s">
        <v>109</v>
      </c>
      <c r="C95" s="20">
        <f>SUM(C96)</f>
        <v>2752</v>
      </c>
      <c r="D95" s="10"/>
      <c r="E95" s="21"/>
    </row>
    <row r="96" spans="1:5">
      <c r="A96" s="79"/>
      <c r="B96" s="5" t="s">
        <v>79</v>
      </c>
      <c r="C96" s="20">
        <v>2752</v>
      </c>
      <c r="D96" s="10"/>
    </row>
    <row r="97" spans="1:4">
      <c r="A97" s="79">
        <v>10701</v>
      </c>
      <c r="B97" s="5" t="s">
        <v>176</v>
      </c>
      <c r="C97" s="20">
        <f>SUM(C98:C99)</f>
        <v>-37763</v>
      </c>
      <c r="D97" s="20">
        <f>SUM(D98:D99)</f>
        <v>-37763</v>
      </c>
    </row>
    <row r="98" spans="1:4">
      <c r="A98" s="79"/>
      <c r="B98" s="5" t="s">
        <v>79</v>
      </c>
      <c r="C98" s="20">
        <v>7772</v>
      </c>
      <c r="D98" s="10">
        <v>7772</v>
      </c>
    </row>
    <row r="99" spans="1:4">
      <c r="A99" s="79"/>
      <c r="B99" s="5" t="s">
        <v>80</v>
      </c>
      <c r="C99" s="20">
        <v>-45535</v>
      </c>
      <c r="D99" s="10">
        <v>-45535</v>
      </c>
    </row>
    <row r="100" spans="1:4">
      <c r="A100" s="79">
        <v>10702</v>
      </c>
      <c r="B100" s="5" t="s">
        <v>67</v>
      </c>
      <c r="C100" s="20">
        <f>SUM(C101:C101)</f>
        <v>12006</v>
      </c>
      <c r="D100" s="20">
        <f>SUM(D101:D101)</f>
        <v>0</v>
      </c>
    </row>
    <row r="101" spans="1:4">
      <c r="A101" s="79"/>
      <c r="B101" s="5" t="s">
        <v>79</v>
      </c>
      <c r="C101" s="20">
        <v>12006</v>
      </c>
      <c r="D101" s="10"/>
    </row>
    <row r="103" spans="1:4" ht="34.5" customHeight="1">
      <c r="B103" s="101"/>
      <c r="C103" s="102"/>
    </row>
  </sheetData>
  <mergeCells count="3">
    <mergeCell ref="B2:C2"/>
    <mergeCell ref="B103:C103"/>
    <mergeCell ref="A1:D1"/>
  </mergeCells>
  <phoneticPr fontId="0" type="noConversion"/>
  <pageMargins left="0.9448818897637796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 xml:space="preserve">&amp;RLisa  3
Tartu Linnavolikogu
2013.a määruse
 nr  juurde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Zeros="0" workbookViewId="0">
      <selection activeCell="A17" sqref="A17"/>
    </sheetView>
  </sheetViews>
  <sheetFormatPr defaultRowHeight="15"/>
  <cols>
    <col min="1" max="1" width="43" style="45" customWidth="1"/>
    <col min="2" max="2" width="5.5703125" style="58" customWidth="1"/>
    <col min="3" max="3" width="11.28515625" style="44" bestFit="1" customWidth="1"/>
    <col min="4" max="5" width="11.28515625" style="22" bestFit="1" customWidth="1"/>
    <col min="6" max="6" width="10.140625" style="22" bestFit="1" customWidth="1"/>
    <col min="7" max="16384" width="9.140625" style="22"/>
  </cols>
  <sheetData>
    <row r="1" spans="1:6" ht="31.5" customHeight="1">
      <c r="A1" s="112" t="s">
        <v>141</v>
      </c>
      <c r="B1" s="113"/>
      <c r="C1" s="113"/>
      <c r="D1" s="113"/>
      <c r="E1" s="113"/>
      <c r="F1" s="100"/>
    </row>
    <row r="2" spans="1:6">
      <c r="A2" s="23"/>
      <c r="B2" s="48"/>
      <c r="C2" s="24"/>
      <c r="E2" s="25" t="s">
        <v>31</v>
      </c>
    </row>
    <row r="3" spans="1:6">
      <c r="A3" s="110"/>
      <c r="B3" s="49"/>
      <c r="C3" s="108" t="s">
        <v>11</v>
      </c>
      <c r="D3" s="108"/>
      <c r="E3" s="109" t="s">
        <v>12</v>
      </c>
      <c r="F3" s="103" t="s">
        <v>179</v>
      </c>
    </row>
    <row r="4" spans="1:6" ht="51" customHeight="1">
      <c r="A4" s="111"/>
      <c r="B4" s="50"/>
      <c r="C4" s="85" t="s">
        <v>13</v>
      </c>
      <c r="D4" s="34" t="s">
        <v>32</v>
      </c>
      <c r="E4" s="109"/>
      <c r="F4" s="104"/>
    </row>
    <row r="5" spans="1:6">
      <c r="A5" s="4" t="s">
        <v>40</v>
      </c>
      <c r="B5" s="51"/>
      <c r="C5" s="26">
        <f>SUM(C6:C7)</f>
        <v>1204095</v>
      </c>
      <c r="D5" s="26">
        <f>SUM(D6:D7)</f>
        <v>928599</v>
      </c>
      <c r="E5" s="27">
        <f>SUM(C5:D5)</f>
        <v>2132694</v>
      </c>
      <c r="F5" s="94">
        <f>SUM(F6:F7)</f>
        <v>1324166</v>
      </c>
    </row>
    <row r="6" spans="1:6">
      <c r="A6" s="6" t="s">
        <v>35</v>
      </c>
      <c r="B6" s="46" t="s">
        <v>82</v>
      </c>
      <c r="C6" s="28">
        <f>SUMIF($B13:$B63,$B6,C13:C63)</f>
        <v>1194095</v>
      </c>
      <c r="D6" s="28">
        <f>SUMIF($B13:$B$63,$B$6,D13:D63)</f>
        <v>928599</v>
      </c>
      <c r="E6" s="28">
        <f>SUM(C6:D6)</f>
        <v>2122694</v>
      </c>
      <c r="F6" s="28">
        <f>SUMIF($B13:$B$63,$B$6,F13:F63)</f>
        <v>1324166</v>
      </c>
    </row>
    <row r="7" spans="1:6">
      <c r="A7" s="17" t="s">
        <v>36</v>
      </c>
      <c r="B7" s="47" t="s">
        <v>83</v>
      </c>
      <c r="C7" s="28">
        <f>SUMIF($B13:$B61,$B7,C13:C61)</f>
        <v>10000</v>
      </c>
      <c r="D7" s="28">
        <f>SUMIF($B14:$B$63,$B7,D14:D64)</f>
        <v>0</v>
      </c>
      <c r="E7" s="28">
        <f>SUM(C7:D7)</f>
        <v>10000</v>
      </c>
      <c r="F7" s="28">
        <f>SUMIF($B14:$B$63,$B7,F14:F64)</f>
        <v>0</v>
      </c>
    </row>
    <row r="8" spans="1:6">
      <c r="A8" s="29"/>
      <c r="B8" s="52"/>
      <c r="C8" s="30"/>
      <c r="E8" s="31"/>
    </row>
    <row r="9" spans="1:6">
      <c r="A9" s="107" t="s">
        <v>73</v>
      </c>
      <c r="B9" s="107"/>
      <c r="C9" s="107"/>
      <c r="D9" s="107"/>
      <c r="E9" s="107"/>
    </row>
    <row r="10" spans="1:6">
      <c r="A10" s="32"/>
      <c r="B10" s="53"/>
      <c r="C10" s="33"/>
      <c r="E10" s="25"/>
    </row>
    <row r="11" spans="1:6" ht="15.75" customHeight="1">
      <c r="A11" s="105" t="s">
        <v>92</v>
      </c>
      <c r="B11" s="54"/>
      <c r="C11" s="108" t="s">
        <v>11</v>
      </c>
      <c r="D11" s="108"/>
      <c r="E11" s="108" t="s">
        <v>20</v>
      </c>
      <c r="F11" s="105" t="s">
        <v>179</v>
      </c>
    </row>
    <row r="12" spans="1:6" ht="45" customHeight="1">
      <c r="A12" s="105"/>
      <c r="B12" s="54"/>
      <c r="C12" s="86" t="s">
        <v>13</v>
      </c>
      <c r="D12" s="88" t="s">
        <v>32</v>
      </c>
      <c r="E12" s="108"/>
      <c r="F12" s="106"/>
    </row>
    <row r="13" spans="1:6" ht="23.25" customHeight="1">
      <c r="A13" s="35" t="s">
        <v>2</v>
      </c>
      <c r="B13" s="55"/>
      <c r="C13" s="27">
        <f>SUM(C14,C19)</f>
        <v>316347</v>
      </c>
      <c r="D13" s="27">
        <f>SUM(D14,D19)</f>
        <v>0</v>
      </c>
      <c r="E13" s="27">
        <f t="shared" ref="E13:E63" si="0">SUM(C13:D13)</f>
        <v>316347</v>
      </c>
      <c r="F13" s="27">
        <f>F14+F19</f>
        <v>38347</v>
      </c>
    </row>
    <row r="14" spans="1:6">
      <c r="A14" s="36" t="s">
        <v>39</v>
      </c>
      <c r="B14" s="55"/>
      <c r="C14" s="60">
        <f>SUM(C15,C17:C18)</f>
        <v>274000</v>
      </c>
      <c r="D14" s="60">
        <f>SUM(D15,D17:D18)</f>
        <v>0</v>
      </c>
      <c r="E14" s="40">
        <f t="shared" si="0"/>
        <v>274000</v>
      </c>
      <c r="F14" s="28">
        <f>F15+F17+F18</f>
        <v>0</v>
      </c>
    </row>
    <row r="15" spans="1:6">
      <c r="A15" s="35" t="s">
        <v>16</v>
      </c>
      <c r="B15" s="55"/>
      <c r="C15" s="27">
        <f>SUM(C16:C16)</f>
        <v>124000</v>
      </c>
      <c r="D15" s="27">
        <f>SUM(D16:D16)</f>
        <v>0</v>
      </c>
      <c r="E15" s="27">
        <f t="shared" si="0"/>
        <v>124000</v>
      </c>
      <c r="F15" s="28"/>
    </row>
    <row r="16" spans="1:6" ht="30">
      <c r="A16" s="37" t="s">
        <v>84</v>
      </c>
      <c r="B16" s="57" t="s">
        <v>82</v>
      </c>
      <c r="C16" s="28">
        <v>124000</v>
      </c>
      <c r="D16" s="28"/>
      <c r="E16" s="28">
        <f t="shared" si="0"/>
        <v>124000</v>
      </c>
      <c r="F16" s="28"/>
    </row>
    <row r="17" spans="1:6">
      <c r="A17" s="35" t="s">
        <v>85</v>
      </c>
      <c r="B17" s="55" t="s">
        <v>82</v>
      </c>
      <c r="C17" s="27">
        <v>100000</v>
      </c>
      <c r="D17" s="27"/>
      <c r="E17" s="27">
        <f t="shared" si="0"/>
        <v>100000</v>
      </c>
      <c r="F17" s="28"/>
    </row>
    <row r="18" spans="1:6">
      <c r="A18" s="35" t="s">
        <v>86</v>
      </c>
      <c r="B18" s="55" t="s">
        <v>82</v>
      </c>
      <c r="C18" s="27">
        <v>50000</v>
      </c>
      <c r="D18" s="27"/>
      <c r="E18" s="27">
        <f t="shared" si="0"/>
        <v>50000</v>
      </c>
      <c r="F18" s="28"/>
    </row>
    <row r="19" spans="1:6">
      <c r="A19" s="36" t="s">
        <v>38</v>
      </c>
      <c r="B19" s="55"/>
      <c r="C19" s="40">
        <f>SUM(C20:C20)</f>
        <v>42347</v>
      </c>
      <c r="D19" s="40">
        <f>SUM(D20:D20)</f>
        <v>0</v>
      </c>
      <c r="E19" s="40">
        <f t="shared" si="0"/>
        <v>42347</v>
      </c>
      <c r="F19" s="40">
        <f>SUM(F20)</f>
        <v>38347</v>
      </c>
    </row>
    <row r="20" spans="1:6">
      <c r="A20" s="37" t="s">
        <v>87</v>
      </c>
      <c r="B20" s="57" t="s">
        <v>82</v>
      </c>
      <c r="C20" s="28">
        <f>30000-26000+38347</f>
        <v>42347</v>
      </c>
      <c r="D20" s="28"/>
      <c r="E20" s="28">
        <f t="shared" si="0"/>
        <v>42347</v>
      </c>
      <c r="F20" s="28">
        <v>38347</v>
      </c>
    </row>
    <row r="21" spans="1:6" ht="25.5" customHeight="1">
      <c r="A21" s="87" t="s">
        <v>3</v>
      </c>
      <c r="B21" s="49"/>
      <c r="C21" s="27">
        <f>SUM(C22)</f>
        <v>30000</v>
      </c>
      <c r="D21" s="27">
        <f>SUM(D22)</f>
        <v>0</v>
      </c>
      <c r="E21" s="27">
        <f t="shared" si="0"/>
        <v>30000</v>
      </c>
      <c r="F21" s="28"/>
    </row>
    <row r="22" spans="1:6">
      <c r="A22" s="87" t="s">
        <v>88</v>
      </c>
      <c r="B22" s="47"/>
      <c r="C22" s="40">
        <f>SUM(C23:C23)</f>
        <v>30000</v>
      </c>
      <c r="D22" s="40">
        <f>SUM(D23:D23)</f>
        <v>0</v>
      </c>
      <c r="E22" s="40">
        <f t="shared" si="0"/>
        <v>30000</v>
      </c>
      <c r="F22" s="28">
        <f>F23</f>
        <v>0</v>
      </c>
    </row>
    <row r="23" spans="1:6">
      <c r="A23" s="17" t="s">
        <v>89</v>
      </c>
      <c r="B23" s="47" t="s">
        <v>82</v>
      </c>
      <c r="C23" s="28">
        <v>30000</v>
      </c>
      <c r="D23" s="28"/>
      <c r="E23" s="28">
        <f t="shared" si="0"/>
        <v>30000</v>
      </c>
      <c r="F23" s="28"/>
    </row>
    <row r="24" spans="1:6" ht="25.5" customHeight="1">
      <c r="A24" s="87" t="s">
        <v>17</v>
      </c>
      <c r="B24" s="49"/>
      <c r="C24" s="27">
        <f>SUM(C25,C27)</f>
        <v>30000</v>
      </c>
      <c r="D24" s="27">
        <f>SUM(D25,D27)</f>
        <v>0</v>
      </c>
      <c r="E24" s="27">
        <f t="shared" si="0"/>
        <v>30000</v>
      </c>
      <c r="F24" s="28">
        <f>F25+F27</f>
        <v>0</v>
      </c>
    </row>
    <row r="25" spans="1:6">
      <c r="A25" s="36" t="s">
        <v>18</v>
      </c>
      <c r="B25" s="55"/>
      <c r="C25" s="40">
        <f>SUM(C26:C26)</f>
        <v>30000</v>
      </c>
      <c r="D25" s="40">
        <f>SUM(D26:D26)</f>
        <v>0</v>
      </c>
      <c r="E25" s="40">
        <f t="shared" si="0"/>
        <v>30000</v>
      </c>
      <c r="F25" s="28">
        <f>SUM(F26)</f>
        <v>0</v>
      </c>
    </row>
    <row r="26" spans="1:6">
      <c r="A26" s="37" t="s">
        <v>19</v>
      </c>
      <c r="B26" s="57" t="s">
        <v>82</v>
      </c>
      <c r="C26" s="28">
        <v>30000</v>
      </c>
      <c r="D26" s="27"/>
      <c r="E26" s="28">
        <f t="shared" si="0"/>
        <v>30000</v>
      </c>
      <c r="F26" s="28"/>
    </row>
    <row r="27" spans="1:6">
      <c r="A27" s="35" t="s">
        <v>132</v>
      </c>
      <c r="B27" s="55"/>
      <c r="C27" s="27">
        <f>SUM(C28:C29)</f>
        <v>0</v>
      </c>
      <c r="D27" s="27">
        <f>SUM(D28:D29)</f>
        <v>0</v>
      </c>
      <c r="E27" s="28">
        <f t="shared" si="0"/>
        <v>0</v>
      </c>
      <c r="F27" s="28">
        <f>SUM(F28:F29)</f>
        <v>0</v>
      </c>
    </row>
    <row r="28" spans="1:6">
      <c r="A28" s="37" t="s">
        <v>134</v>
      </c>
      <c r="B28" s="57" t="s">
        <v>82</v>
      </c>
      <c r="C28" s="28">
        <v>-6000</v>
      </c>
      <c r="D28" s="27"/>
      <c r="E28" s="28">
        <f t="shared" si="0"/>
        <v>-6000</v>
      </c>
      <c r="F28" s="28"/>
    </row>
    <row r="29" spans="1:6">
      <c r="A29" s="37" t="s">
        <v>133</v>
      </c>
      <c r="B29" s="57" t="s">
        <v>82</v>
      </c>
      <c r="C29" s="28">
        <v>6000</v>
      </c>
      <c r="D29" s="27"/>
      <c r="E29" s="28">
        <f t="shared" si="0"/>
        <v>6000</v>
      </c>
      <c r="F29" s="28"/>
    </row>
    <row r="30" spans="1:6" ht="28.5" customHeight="1">
      <c r="A30" s="87" t="s">
        <v>14</v>
      </c>
      <c r="B30" s="49"/>
      <c r="C30" s="27">
        <f>SUM(C31,C33,C35)</f>
        <v>30984</v>
      </c>
      <c r="D30" s="27">
        <f>SUM(D31,D33,D35)</f>
        <v>0</v>
      </c>
      <c r="E30" s="27">
        <f t="shared" si="0"/>
        <v>30984</v>
      </c>
      <c r="F30" s="28"/>
    </row>
    <row r="31" spans="1:6">
      <c r="A31" s="37" t="s">
        <v>90</v>
      </c>
      <c r="B31" s="57"/>
      <c r="C31" s="40">
        <f>SUM(C32:C32)</f>
        <v>10000</v>
      </c>
      <c r="D31" s="40">
        <f>SUM(D32:D32)</f>
        <v>0</v>
      </c>
      <c r="E31" s="40">
        <f t="shared" si="0"/>
        <v>10000</v>
      </c>
      <c r="F31" s="28">
        <f>SUM(F32)</f>
        <v>0</v>
      </c>
    </row>
    <row r="32" spans="1:6">
      <c r="A32" s="61" t="s">
        <v>105</v>
      </c>
      <c r="B32" s="57" t="s">
        <v>82</v>
      </c>
      <c r="C32" s="28">
        <v>10000</v>
      </c>
      <c r="D32" s="28"/>
      <c r="E32" s="28">
        <f>SUM(C32:D32)</f>
        <v>10000</v>
      </c>
      <c r="F32" s="28"/>
    </row>
    <row r="33" spans="1:6">
      <c r="A33" s="36" t="s">
        <v>21</v>
      </c>
      <c r="B33" s="55"/>
      <c r="C33" s="40">
        <f>SUM(C34:C34)</f>
        <v>10984</v>
      </c>
      <c r="D33" s="40">
        <f>SUM(D34:D34)</f>
        <v>0</v>
      </c>
      <c r="E33" s="40">
        <f t="shared" si="0"/>
        <v>10984</v>
      </c>
      <c r="F33" s="28">
        <f>SUM(F34)</f>
        <v>0</v>
      </c>
    </row>
    <row r="34" spans="1:6">
      <c r="A34" s="61" t="s">
        <v>106</v>
      </c>
      <c r="B34" s="57" t="s">
        <v>82</v>
      </c>
      <c r="C34" s="28">
        <v>10984</v>
      </c>
      <c r="D34" s="28"/>
      <c r="E34" s="28">
        <f t="shared" si="0"/>
        <v>10984</v>
      </c>
      <c r="F34" s="28"/>
    </row>
    <row r="35" spans="1:6">
      <c r="A35" s="36" t="s">
        <v>124</v>
      </c>
      <c r="B35" s="56"/>
      <c r="C35" s="40">
        <f>SUM(C36:C36)</f>
        <v>10000</v>
      </c>
      <c r="D35" s="40">
        <f>SUM(D36:D36)</f>
        <v>0</v>
      </c>
      <c r="E35" s="40">
        <f t="shared" si="0"/>
        <v>10000</v>
      </c>
      <c r="F35" s="28">
        <f>SUM(F36)</f>
        <v>0</v>
      </c>
    </row>
    <row r="36" spans="1:6" ht="30">
      <c r="A36" s="62" t="s">
        <v>125</v>
      </c>
      <c r="B36" s="57" t="s">
        <v>83</v>
      </c>
      <c r="C36" s="28">
        <v>10000</v>
      </c>
      <c r="D36" s="28"/>
      <c r="E36" s="28">
        <f t="shared" si="0"/>
        <v>10000</v>
      </c>
      <c r="F36" s="28"/>
    </row>
    <row r="37" spans="1:6" ht="24" customHeight="1">
      <c r="A37" s="87" t="s">
        <v>5</v>
      </c>
      <c r="B37" s="49"/>
      <c r="C37" s="27">
        <f>SUM(C38,C45,C47,C50,C55,C57)</f>
        <v>788344</v>
      </c>
      <c r="D37" s="27">
        <f>SUM(D38,D45,D47,D50,D55,D57)</f>
        <v>928599</v>
      </c>
      <c r="E37" s="27">
        <f t="shared" si="0"/>
        <v>1716943</v>
      </c>
      <c r="F37" s="27">
        <f>SUM(F38,F45,F47,F50,F55,F57)</f>
        <v>1285819</v>
      </c>
    </row>
    <row r="38" spans="1:6">
      <c r="A38" s="38" t="s">
        <v>15</v>
      </c>
      <c r="B38" s="49"/>
      <c r="C38" s="40">
        <f>SUM(C39:C44)</f>
        <v>215297</v>
      </c>
      <c r="D38" s="40">
        <f>SUM(D39:D44)</f>
        <v>27580</v>
      </c>
      <c r="E38" s="40">
        <f t="shared" si="0"/>
        <v>242877</v>
      </c>
      <c r="F38" s="28"/>
    </row>
    <row r="39" spans="1:6">
      <c r="A39" s="17" t="s">
        <v>33</v>
      </c>
      <c r="B39" s="47" t="s">
        <v>82</v>
      </c>
      <c r="C39" s="28">
        <v>20000</v>
      </c>
      <c r="D39" s="28"/>
      <c r="E39" s="28">
        <f t="shared" si="0"/>
        <v>20000</v>
      </c>
      <c r="F39" s="28"/>
    </row>
    <row r="40" spans="1:6" ht="30">
      <c r="A40" s="17" t="s">
        <v>137</v>
      </c>
      <c r="B40" s="47" t="s">
        <v>82</v>
      </c>
      <c r="C40" s="28">
        <v>25297</v>
      </c>
      <c r="D40" s="28"/>
      <c r="E40" s="28">
        <f t="shared" si="0"/>
        <v>25297</v>
      </c>
      <c r="F40" s="28"/>
    </row>
    <row r="41" spans="1:6" ht="30">
      <c r="A41" s="17" t="s">
        <v>91</v>
      </c>
      <c r="B41" s="47" t="s">
        <v>82</v>
      </c>
      <c r="C41" s="28">
        <v>20000</v>
      </c>
      <c r="D41" s="28"/>
      <c r="E41" s="28">
        <f t="shared" si="0"/>
        <v>20000</v>
      </c>
      <c r="F41" s="28"/>
    </row>
    <row r="42" spans="1:6">
      <c r="A42" s="17" t="s">
        <v>130</v>
      </c>
      <c r="B42" s="47" t="s">
        <v>82</v>
      </c>
      <c r="C42" s="28">
        <v>130000</v>
      </c>
      <c r="D42" s="28"/>
      <c r="E42" s="28">
        <f t="shared" si="0"/>
        <v>130000</v>
      </c>
      <c r="F42" s="28"/>
    </row>
    <row r="43" spans="1:6">
      <c r="A43" s="17" t="s">
        <v>128</v>
      </c>
      <c r="B43" s="47" t="s">
        <v>82</v>
      </c>
      <c r="C43" s="28">
        <v>5000</v>
      </c>
      <c r="D43" s="28">
        <v>27580</v>
      </c>
      <c r="E43" s="28">
        <f t="shared" si="0"/>
        <v>32580</v>
      </c>
      <c r="F43" s="28"/>
    </row>
    <row r="44" spans="1:6">
      <c r="A44" s="17" t="s">
        <v>129</v>
      </c>
      <c r="B44" s="47" t="s">
        <v>82</v>
      </c>
      <c r="C44" s="28">
        <v>15000</v>
      </c>
      <c r="D44" s="28"/>
      <c r="E44" s="28">
        <f t="shared" si="0"/>
        <v>15000</v>
      </c>
      <c r="F44" s="28"/>
    </row>
    <row r="45" spans="1:6">
      <c r="A45" s="38" t="s">
        <v>34</v>
      </c>
      <c r="B45" s="49"/>
      <c r="C45" s="40">
        <f>SUM(C46:C46)</f>
        <v>135513</v>
      </c>
      <c r="D45" s="40">
        <f>SUM(D46:D46)</f>
        <v>0</v>
      </c>
      <c r="E45" s="40">
        <f t="shared" si="0"/>
        <v>135513</v>
      </c>
      <c r="F45" s="28"/>
    </row>
    <row r="46" spans="1:6">
      <c r="A46" s="17" t="s">
        <v>131</v>
      </c>
      <c r="B46" s="47" t="s">
        <v>82</v>
      </c>
      <c r="C46" s="28">
        <v>135513</v>
      </c>
      <c r="D46" s="28"/>
      <c r="E46" s="28">
        <f t="shared" si="0"/>
        <v>135513</v>
      </c>
      <c r="F46" s="28"/>
    </row>
    <row r="47" spans="1:6">
      <c r="A47" s="42" t="s">
        <v>143</v>
      </c>
      <c r="B47" s="59"/>
      <c r="C47" s="41">
        <f>SUM(C48:C49)</f>
        <v>52734</v>
      </c>
      <c r="D47" s="41">
        <f>SUM(D48:D49)</f>
        <v>0</v>
      </c>
      <c r="E47" s="40">
        <f t="shared" si="0"/>
        <v>52734</v>
      </c>
      <c r="F47" s="28"/>
    </row>
    <row r="48" spans="1:6">
      <c r="A48" s="64" t="s">
        <v>37</v>
      </c>
      <c r="B48" s="63" t="s">
        <v>82</v>
      </c>
      <c r="C48" s="39">
        <v>30054</v>
      </c>
      <c r="D48" s="43"/>
      <c r="E48" s="28">
        <f t="shared" si="0"/>
        <v>30054</v>
      </c>
      <c r="F48" s="28"/>
    </row>
    <row r="49" spans="1:6">
      <c r="A49" s="64" t="s">
        <v>107</v>
      </c>
      <c r="B49" s="63" t="s">
        <v>82</v>
      </c>
      <c r="C49" s="39">
        <v>22680</v>
      </c>
      <c r="D49" s="43"/>
      <c r="E49" s="28">
        <f t="shared" si="0"/>
        <v>22680</v>
      </c>
      <c r="F49" s="28"/>
    </row>
    <row r="50" spans="1:6">
      <c r="A50" s="42" t="s">
        <v>145</v>
      </c>
      <c r="B50" s="91"/>
      <c r="C50" s="41">
        <f>SUM(C51:C54)</f>
        <v>0</v>
      </c>
      <c r="D50" s="41">
        <f>SUM(D51:D54)</f>
        <v>853514</v>
      </c>
      <c r="E50" s="41">
        <f>SUM(C50:D50)</f>
        <v>853514</v>
      </c>
      <c r="F50" s="41">
        <f>SUM(F51:F54)</f>
        <v>853514</v>
      </c>
    </row>
    <row r="51" spans="1:6" ht="30">
      <c r="A51" s="64" t="s">
        <v>153</v>
      </c>
      <c r="B51" s="63" t="s">
        <v>82</v>
      </c>
      <c r="C51" s="39"/>
      <c r="D51" s="39">
        <f>133490+115220+64470</f>
        <v>313180</v>
      </c>
      <c r="E51" s="39">
        <f>SUM(C51:D51)</f>
        <v>313180</v>
      </c>
      <c r="F51" s="28">
        <v>313180</v>
      </c>
    </row>
    <row r="52" spans="1:6">
      <c r="A52" s="64" t="s">
        <v>150</v>
      </c>
      <c r="B52" s="63" t="s">
        <v>82</v>
      </c>
      <c r="C52" s="39"/>
      <c r="D52" s="39">
        <f>7600+272950+80030</f>
        <v>360580</v>
      </c>
      <c r="E52" s="39">
        <f t="shared" ref="E52:E54" si="1">SUM(C52:D52)</f>
        <v>360580</v>
      </c>
      <c r="F52" s="28">
        <v>360580</v>
      </c>
    </row>
    <row r="53" spans="1:6" ht="30">
      <c r="A53" s="64" t="s">
        <v>151</v>
      </c>
      <c r="B53" s="63" t="s">
        <v>82</v>
      </c>
      <c r="C53" s="39"/>
      <c r="D53" s="39">
        <f>47194+65760</f>
        <v>112954</v>
      </c>
      <c r="E53" s="39">
        <f t="shared" si="1"/>
        <v>112954</v>
      </c>
      <c r="F53" s="28">
        <v>112954</v>
      </c>
    </row>
    <row r="54" spans="1:6" ht="30">
      <c r="A54" s="95" t="s">
        <v>152</v>
      </c>
      <c r="B54" s="63" t="s">
        <v>82</v>
      </c>
      <c r="C54" s="39"/>
      <c r="D54" s="39">
        <v>66800</v>
      </c>
      <c r="E54" s="39">
        <f t="shared" si="1"/>
        <v>66800</v>
      </c>
      <c r="F54" s="28">
        <v>66800</v>
      </c>
    </row>
    <row r="55" spans="1:6">
      <c r="A55" s="93" t="s">
        <v>147</v>
      </c>
      <c r="B55" s="59"/>
      <c r="C55" s="92">
        <f>SUM(C56)</f>
        <v>0</v>
      </c>
      <c r="D55" s="92">
        <f t="shared" ref="D55:F55" si="2">SUM(D56)</f>
        <v>47505</v>
      </c>
      <c r="E55" s="92">
        <f t="shared" si="2"/>
        <v>0</v>
      </c>
      <c r="F55" s="92">
        <f t="shared" si="2"/>
        <v>47505</v>
      </c>
    </row>
    <row r="56" spans="1:6" ht="30">
      <c r="A56" s="64" t="s">
        <v>148</v>
      </c>
      <c r="B56" s="63" t="s">
        <v>82</v>
      </c>
      <c r="C56" s="39"/>
      <c r="D56" s="39">
        <v>47505</v>
      </c>
      <c r="E56" s="39"/>
      <c r="F56" s="28">
        <v>47505</v>
      </c>
    </row>
    <row r="57" spans="1:6">
      <c r="A57" s="42" t="s">
        <v>144</v>
      </c>
      <c r="B57" s="91"/>
      <c r="C57" s="41">
        <f>SUM(C58)</f>
        <v>384800</v>
      </c>
      <c r="D57" s="41">
        <f t="shared" ref="D57:F57" si="3">SUM(D58)</f>
        <v>0</v>
      </c>
      <c r="E57" s="41">
        <f t="shared" si="3"/>
        <v>0</v>
      </c>
      <c r="F57" s="41">
        <f t="shared" si="3"/>
        <v>384800</v>
      </c>
    </row>
    <row r="58" spans="1:6" ht="30">
      <c r="A58" s="64" t="s">
        <v>146</v>
      </c>
      <c r="B58" s="63" t="s">
        <v>82</v>
      </c>
      <c r="C58" s="39">
        <v>384800</v>
      </c>
      <c r="D58" s="39"/>
      <c r="E58" s="39"/>
      <c r="F58" s="28">
        <v>384800</v>
      </c>
    </row>
    <row r="59" spans="1:6" ht="27" customHeight="1">
      <c r="A59" s="87" t="s">
        <v>6</v>
      </c>
      <c r="B59" s="49"/>
      <c r="C59" s="27">
        <f>SUM(C60,C62)</f>
        <v>8420</v>
      </c>
      <c r="D59" s="27">
        <f>SUM(D60,D62)</f>
        <v>0</v>
      </c>
      <c r="E59" s="27">
        <f t="shared" si="0"/>
        <v>8420</v>
      </c>
      <c r="F59" s="28">
        <f>F60+F62</f>
        <v>0</v>
      </c>
    </row>
    <row r="60" spans="1:6" ht="20.25" customHeight="1">
      <c r="A60" s="87" t="s">
        <v>126</v>
      </c>
      <c r="B60" s="49"/>
      <c r="C60" s="40">
        <f>SUM(C61)</f>
        <v>3000</v>
      </c>
      <c r="D60" s="40">
        <f>SUM(D61)</f>
        <v>0</v>
      </c>
      <c r="E60" s="40">
        <f t="shared" si="0"/>
        <v>3000</v>
      </c>
      <c r="F60" s="28">
        <f>SUM(F61)</f>
        <v>0</v>
      </c>
    </row>
    <row r="61" spans="1:6" ht="30">
      <c r="A61" s="17" t="s">
        <v>127</v>
      </c>
      <c r="B61" s="47" t="s">
        <v>82</v>
      </c>
      <c r="C61" s="28">
        <v>3000</v>
      </c>
      <c r="D61" s="28"/>
      <c r="E61" s="28">
        <f t="shared" si="0"/>
        <v>3000</v>
      </c>
      <c r="F61" s="28"/>
    </row>
    <row r="62" spans="1:6">
      <c r="A62" s="17" t="s">
        <v>149</v>
      </c>
      <c r="B62" s="47"/>
      <c r="C62" s="40">
        <f>SUM(C63)</f>
        <v>5420</v>
      </c>
      <c r="D62" s="40">
        <f>SUM(D63)</f>
        <v>0</v>
      </c>
      <c r="E62" s="40">
        <f>SUM(C62:D62)</f>
        <v>5420</v>
      </c>
      <c r="F62" s="28">
        <f>SUM(F63)</f>
        <v>0</v>
      </c>
    </row>
    <row r="63" spans="1:6" ht="30">
      <c r="A63" s="17" t="s">
        <v>135</v>
      </c>
      <c r="B63" s="47" t="s">
        <v>82</v>
      </c>
      <c r="C63" s="17">
        <v>5420</v>
      </c>
      <c r="D63" s="17"/>
      <c r="E63" s="28">
        <f t="shared" si="0"/>
        <v>5420</v>
      </c>
      <c r="F63" s="28"/>
    </row>
    <row r="64" spans="1:6" ht="31.5" customHeight="1">
      <c r="A64" s="101"/>
      <c r="B64" s="101"/>
      <c r="C64" s="102"/>
      <c r="D64" s="102"/>
      <c r="E64" s="102"/>
    </row>
  </sheetData>
  <mergeCells count="11">
    <mergeCell ref="A1:F1"/>
    <mergeCell ref="F3:F4"/>
    <mergeCell ref="F11:F12"/>
    <mergeCell ref="A64:E64"/>
    <mergeCell ref="A11:A12"/>
    <mergeCell ref="A9:E9"/>
    <mergeCell ref="C11:D11"/>
    <mergeCell ref="E11:E12"/>
    <mergeCell ref="C3:D3"/>
    <mergeCell ref="E3:E4"/>
    <mergeCell ref="A3:A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&amp;RLisa 4
Tartu linnavolikogu .2013.a 
määruse nr  juurde</oddHead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lisa 1(koond)</vt:lpstr>
      <vt:lpstr>lisa 2 (Tulubaas)</vt:lpstr>
      <vt:lpstr>lisa 3 (põhitegevus)</vt:lpstr>
      <vt:lpstr>Lisa 4 (invest)</vt:lpstr>
      <vt:lpstr>'lisa 3 (põhitegevus)'!Prinditiitlid</vt:lpstr>
      <vt:lpstr>'lisa 3 (põhitegevus)'!Print_Titles</vt:lpstr>
      <vt:lpstr>'Lisa 4 (invest)'!Print_Titles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Tiina</cp:lastModifiedBy>
  <cp:lastPrinted>2013-04-01T04:35:55Z</cp:lastPrinted>
  <dcterms:created xsi:type="dcterms:W3CDTF">1996-10-14T23:33:28Z</dcterms:created>
  <dcterms:modified xsi:type="dcterms:W3CDTF">2013-04-01T04:35:58Z</dcterms:modified>
</cp:coreProperties>
</file>