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5130" windowHeight="3495" activeTab="0"/>
  </bookViews>
  <sheets>
    <sheet name="koond" sheetId="1" r:id="rId1"/>
    <sheet name="person kulud" sheetId="2" r:id="rId2"/>
    <sheet name="joon 1" sheetId="3" r:id="rId3"/>
    <sheet name="maj ja üldkulud" sheetId="4" r:id="rId4"/>
    <sheet name="laste arv" sheetId="5" r:id="rId5"/>
  </sheets>
  <definedNames>
    <definedName name="_xlnm.Print_Area" localSheetId="0">'koond'!#REF!</definedName>
    <definedName name="_xlnm.Print_Area" localSheetId="4">'laste arv'!$A$1:$E$9</definedName>
    <definedName name="_xlnm.Print_Area" localSheetId="3">'maj ja üldkulud'!$A$1:$AA$15</definedName>
    <definedName name="_xlnm.Print_Area" localSheetId="1">'person kulud'!$A$1:$K$9</definedName>
  </definedNames>
  <calcPr fullCalcOnLoad="1"/>
</workbook>
</file>

<file path=xl/sharedStrings.xml><?xml version="1.0" encoding="utf-8"?>
<sst xmlns="http://schemas.openxmlformats.org/spreadsheetml/2006/main" count="160" uniqueCount="104">
  <si>
    <t>KOKKU</t>
  </si>
  <si>
    <t>küte</t>
  </si>
  <si>
    <t>vesi</t>
  </si>
  <si>
    <t>asutus</t>
  </si>
  <si>
    <t>tuh.kr.</t>
  </si>
  <si>
    <t>norm-
aed</t>
  </si>
  <si>
    <t>el.</t>
  </si>
  <si>
    <t>Meelespea</t>
  </si>
  <si>
    <t>Helika</t>
  </si>
  <si>
    <t>Midrimaa</t>
  </si>
  <si>
    <t>Rukkilill</t>
  </si>
  <si>
    <t>kokku</t>
  </si>
  <si>
    <t>liit-
aed</t>
  </si>
  <si>
    <t>rühmad</t>
  </si>
  <si>
    <t>laste arv</t>
  </si>
  <si>
    <t xml:space="preserve">
sõim</t>
  </si>
  <si>
    <t>nn
ülek.
lapsed</t>
  </si>
  <si>
    <t>sõim</t>
  </si>
  <si>
    <t>art.50</t>
  </si>
  <si>
    <t>art.55</t>
  </si>
  <si>
    <t>panga-
teenus</t>
  </si>
  <si>
    <t>KOKKU
keskm.
lapsi</t>
  </si>
  <si>
    <t>Lotte</t>
  </si>
  <si>
    <t>art 5511</t>
  </si>
  <si>
    <t>24/20=1,2</t>
  </si>
  <si>
    <t>aed</t>
  </si>
  <si>
    <t>Sipsik</t>
  </si>
  <si>
    <t>jm kulu
art 5500</t>
  </si>
  <si>
    <t>2010.a</t>
  </si>
  <si>
    <t>24/18=1,33</t>
  </si>
  <si>
    <t>liit-
rühm</t>
  </si>
  <si>
    <t>KOKKU
lapsi
2010.a</t>
  </si>
  <si>
    <t>side-
kulu</t>
  </si>
  <si>
    <t>lähetus</t>
  </si>
  <si>
    <t>koolitus</t>
  </si>
  <si>
    <t>eri-
varustus</t>
  </si>
  <si>
    <t>art 5539</t>
  </si>
  <si>
    <t>art 5532</t>
  </si>
  <si>
    <t>eri-
riietus</t>
  </si>
  <si>
    <t>üritused</t>
  </si>
  <si>
    <t>art 5525</t>
  </si>
  <si>
    <t>art 5524</t>
  </si>
  <si>
    <t>art 5522</t>
  </si>
  <si>
    <t>inventar</t>
  </si>
  <si>
    <t>art 5515</t>
  </si>
  <si>
    <t>art 5514</t>
  </si>
  <si>
    <t>IKT</t>
  </si>
  <si>
    <t>art 5513</t>
  </si>
  <si>
    <t>jm kulu
art 5511</t>
  </si>
  <si>
    <t>laste
 arv</t>
  </si>
  <si>
    <t>art 5500</t>
  </si>
  <si>
    <t>art 5503</t>
  </si>
  <si>
    <t>art 5504</t>
  </si>
  <si>
    <t>keskm.
asutuses</t>
  </si>
  <si>
    <t>keskm.
asutusele</t>
  </si>
  <si>
    <t>KOKKU/
keskm</t>
  </si>
  <si>
    <t>laste arv*
350 kr*
11 kuud</t>
  </si>
  <si>
    <t>kohatasu
laekumise
osakaal%
maj.kuludes</t>
  </si>
  <si>
    <t>seega
kulu
peale 
korrigeerimist
1-le lapsele
kroonides
kuus</t>
  </si>
  <si>
    <t>2010.a
kui kohamaks arvestada
 "kinnit. EA" - 
"lapsevanema osalus"</t>
  </si>
  <si>
    <t>KESKM.</t>
  </si>
  <si>
    <t>rühma liik</t>
  </si>
  <si>
    <t>toetuse vahe
"uus"-"vana"</t>
  </si>
  <si>
    <t>vana sõim</t>
  </si>
  <si>
    <t>uus sõim</t>
  </si>
  <si>
    <t>vana aed</t>
  </si>
  <si>
    <t>uus aed</t>
  </si>
  <si>
    <t>vana sõim+aed</t>
  </si>
  <si>
    <t>uus sõim+aed</t>
  </si>
  <si>
    <t>juurdekasv ca 2,6 milj</t>
  </si>
  <si>
    <t>EELNÕU 2010.a koos lapsevanema laekumisega</t>
  </si>
  <si>
    <t>art 55
sh 
laekumine
lapse-
vanemalt</t>
  </si>
  <si>
    <t>õppe-
vah.</t>
  </si>
  <si>
    <t>med.
kulud</t>
  </si>
  <si>
    <t>sõiduki-
kulud</t>
  </si>
  <si>
    <t>ca 690 t.kr
asutusele</t>
  </si>
  <si>
    <t>laekub
asutuses 
lapse-
vanemalt</t>
  </si>
  <si>
    <t>520/690=75%</t>
  </si>
  <si>
    <t>Andmed joonisele</t>
  </si>
  <si>
    <t>pers.kulude
osat.%</t>
  </si>
  <si>
    <r>
      <t xml:space="preserve">kokku
kulud
</t>
    </r>
    <r>
      <rPr>
        <b/>
        <u val="single"/>
        <sz val="10"/>
        <rFont val="Arial"/>
        <family val="2"/>
      </rPr>
      <t>aastas</t>
    </r>
    <r>
      <rPr>
        <b/>
        <sz val="10"/>
        <rFont val="Arial"/>
        <family val="2"/>
      </rPr>
      <t xml:space="preserve">
tuh kr</t>
    </r>
  </si>
  <si>
    <r>
      <t xml:space="preserve">kulu
1-le lapsele
</t>
    </r>
    <r>
      <rPr>
        <u val="single"/>
        <sz val="11"/>
        <color indexed="56"/>
        <rFont val="Arial"/>
        <family val="2"/>
      </rPr>
      <t>kroonides
kuus</t>
    </r>
  </si>
  <si>
    <t>era toetuse
mahajäämus
linnast</t>
  </si>
  <si>
    <t>2 860 / 2205=</t>
  </si>
  <si>
    <t>2 230 / 1 470=</t>
  </si>
  <si>
    <t>kontrolliks 
2010.a eelnõu</t>
  </si>
  <si>
    <t>sõim
aastas</t>
  </si>
  <si>
    <t>liit-
rühm
aastas</t>
  </si>
  <si>
    <t>sõim
kuus</t>
  </si>
  <si>
    <t>aed
kuus</t>
  </si>
  <si>
    <t>liit-
rühm
kuus</t>
  </si>
  <si>
    <t>kokku
kulud
aastas
(eelnõu 2010)
tuh kr</t>
  </si>
  <si>
    <r>
      <t xml:space="preserve">kulu
1-le 
ülekande-
(aia-)lapsele
</t>
    </r>
    <r>
      <rPr>
        <b/>
        <u val="single"/>
        <sz val="11"/>
        <color indexed="56"/>
        <rFont val="Arial"/>
        <family val="2"/>
      </rPr>
      <t>kroonides
aastas</t>
    </r>
  </si>
  <si>
    <t>1-le lapsele kuus</t>
  </si>
  <si>
    <r>
      <t xml:space="preserve">kulu
1-le lapsele
</t>
    </r>
    <r>
      <rPr>
        <b/>
        <u val="single"/>
        <sz val="11"/>
        <color indexed="18"/>
        <rFont val="Arial"/>
        <family val="2"/>
      </rPr>
      <t>kroonides</t>
    </r>
    <r>
      <rPr>
        <b/>
        <sz val="11"/>
        <color indexed="18"/>
        <rFont val="Arial"/>
        <family val="2"/>
      </rPr>
      <t xml:space="preserve">
</t>
    </r>
    <r>
      <rPr>
        <b/>
        <u val="single"/>
        <sz val="11"/>
        <color indexed="18"/>
        <rFont val="Arial"/>
        <family val="2"/>
      </rPr>
      <t>aastas</t>
    </r>
  </si>
  <si>
    <t>toetus-
summa
aastas kr</t>
  </si>
  <si>
    <t>6-rühmaline asutus</t>
  </si>
  <si>
    <r>
      <t>kuus</t>
    </r>
    <r>
      <rPr>
        <b/>
        <sz val="11"/>
        <color indexed="12"/>
        <rFont val="Arial"/>
        <family val="2"/>
      </rPr>
      <t xml:space="preserve">
person. + maj.kulu</t>
    </r>
  </si>
  <si>
    <r>
      <t>aastas</t>
    </r>
    <r>
      <rPr>
        <b/>
        <sz val="11"/>
        <color indexed="12"/>
        <rFont val="Arial"/>
        <family val="2"/>
      </rPr>
      <t xml:space="preserve">
person. + maj.kulu</t>
    </r>
  </si>
  <si>
    <t xml:space="preserve"> =2010.a toetuse eelnõu</t>
  </si>
  <si>
    <t>2009.a toetus kuus  kr=</t>
  </si>
  <si>
    <t>KOKKU/ keskm.</t>
  </si>
  <si>
    <t>keskm.</t>
  </si>
  <si>
    <t>asutus/koef.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</si>
</sst>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0"/>
    <numFmt numFmtId="179" formatCode="0.0000000"/>
    <numFmt numFmtId="180" formatCode="_-* #,##0.0\ _k_r_-;\-* #,##0.0\ _k_r_-;_-* &quot;-&quot;??\ _k_r_-;_-@_-"/>
    <numFmt numFmtId="181" formatCode="_-* #,##0\ _k_r_-;\-* #,##0\ _k_r_-;_-* &quot;-&quot;??\ _k_r_-;_-@_-"/>
    <numFmt numFmtId="182" formatCode="_-* #,##0.0\ _k_r_-;\-* #,##0.0\ _k_r_-;_-* &quot;-&quot;?\ _k_r_-;_-@_-"/>
    <numFmt numFmtId="183" formatCode="_-* #,##0\ _k_r_-;\-* #,##0\ _k_r_-;_-* &quot;-&quot;?\ _k_r_-;_-@_-"/>
    <numFmt numFmtId="184" formatCode="#,##0.0_ ;\-#,##0.0\ 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6"/>
      <name val="Arial"/>
      <family val="2"/>
    </font>
    <font>
      <b/>
      <sz val="11"/>
      <color indexed="12"/>
      <name val="Arial"/>
      <family val="2"/>
    </font>
    <font>
      <b/>
      <u val="singleAccounting"/>
      <sz val="11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i/>
      <sz val="10"/>
      <color indexed="20"/>
      <name val="Arial"/>
      <family val="2"/>
    </font>
    <font>
      <b/>
      <i/>
      <sz val="11"/>
      <color indexed="20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b/>
      <i/>
      <sz val="11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11"/>
      <color indexed="20"/>
      <name val="Arial"/>
      <family val="2"/>
    </font>
    <font>
      <sz val="11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48"/>
      <name val="Arial"/>
      <family val="2"/>
    </font>
    <font>
      <b/>
      <i/>
      <sz val="11"/>
      <color indexed="10"/>
      <name val="Arial"/>
      <family val="2"/>
    </font>
    <font>
      <b/>
      <sz val="9.75"/>
      <name val="Arial"/>
      <family val="2"/>
    </font>
    <font>
      <sz val="10"/>
      <color indexed="57"/>
      <name val="Arial"/>
      <family val="2"/>
    </font>
    <font>
      <sz val="9.75"/>
      <name val="Arial"/>
      <family val="0"/>
    </font>
    <font>
      <b/>
      <sz val="11"/>
      <color indexed="57"/>
      <name val="Arial"/>
      <family val="2"/>
    </font>
    <font>
      <i/>
      <sz val="11"/>
      <color indexed="18"/>
      <name val="Arial"/>
      <family val="2"/>
    </font>
    <font>
      <b/>
      <sz val="10"/>
      <color indexed="57"/>
      <name val="Arial"/>
      <family val="2"/>
    </font>
    <font>
      <i/>
      <sz val="10"/>
      <color indexed="57"/>
      <name val="Arial"/>
      <family val="2"/>
    </font>
    <font>
      <b/>
      <i/>
      <sz val="11"/>
      <color indexed="57"/>
      <name val="Arial"/>
      <family val="2"/>
    </font>
    <font>
      <b/>
      <u val="single"/>
      <sz val="11"/>
      <color indexed="56"/>
      <name val="Arial"/>
      <family val="2"/>
    </font>
    <font>
      <b/>
      <u val="single"/>
      <sz val="10"/>
      <name val="Arial"/>
      <family val="2"/>
    </font>
    <font>
      <u val="single"/>
      <sz val="11"/>
      <color indexed="56"/>
      <name val="Arial"/>
      <family val="2"/>
    </font>
    <font>
      <i/>
      <sz val="10"/>
      <color indexed="12"/>
      <name val="Arial"/>
      <family val="2"/>
    </font>
    <font>
      <b/>
      <i/>
      <sz val="8"/>
      <color indexed="48"/>
      <name val="Arial"/>
      <family val="2"/>
    </font>
    <font>
      <b/>
      <i/>
      <sz val="12"/>
      <color indexed="48"/>
      <name val="Arial"/>
      <family val="2"/>
    </font>
    <font>
      <b/>
      <u val="single"/>
      <sz val="11"/>
      <name val="Arial"/>
      <family val="2"/>
    </font>
    <font>
      <b/>
      <u val="singleAccounting"/>
      <sz val="11"/>
      <color indexed="56"/>
      <name val="Arial"/>
      <family val="2"/>
    </font>
    <font>
      <b/>
      <u val="single"/>
      <sz val="11"/>
      <color indexed="18"/>
      <name val="Arial"/>
      <family val="2"/>
    </font>
    <font>
      <b/>
      <u val="singleAccounting"/>
      <sz val="11"/>
      <color indexed="18"/>
      <name val="Arial"/>
      <family val="2"/>
    </font>
    <font>
      <i/>
      <sz val="10"/>
      <color indexed="14"/>
      <name val="Arial"/>
      <family val="2"/>
    </font>
    <font>
      <b/>
      <u val="single"/>
      <sz val="11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4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181" fontId="0" fillId="0" borderId="0" xfId="15" applyNumberForma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0" fontId="8" fillId="0" borderId="5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8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181" fontId="0" fillId="0" borderId="3" xfId="15" applyNumberFormat="1" applyBorder="1" applyAlignment="1">
      <alignment/>
    </xf>
    <xf numFmtId="181" fontId="0" fillId="0" borderId="3" xfId="15" applyNumberFormat="1" applyFill="1" applyBorder="1" applyAlignment="1">
      <alignment/>
    </xf>
    <xf numFmtId="0" fontId="20" fillId="0" borderId="3" xfId="0" applyFont="1" applyFill="1" applyBorder="1" applyAlignment="1">
      <alignment/>
    </xf>
    <xf numFmtId="181" fontId="20" fillId="0" borderId="3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0" fillId="0" borderId="0" xfId="15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0" fillId="0" borderId="0" xfId="15" applyNumberForma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182" fontId="0" fillId="0" borderId="0" xfId="0" applyNumberFormat="1" applyFill="1" applyBorder="1" applyAlignment="1">
      <alignment/>
    </xf>
    <xf numFmtId="180" fontId="1" fillId="0" borderId="0" xfId="15" applyNumberFormat="1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7" xfId="0" applyFont="1" applyFill="1" applyBorder="1" applyAlignment="1">
      <alignment horizontal="center"/>
    </xf>
    <xf numFmtId="181" fontId="0" fillId="0" borderId="0" xfId="15" applyNumberFormat="1" applyAlignment="1">
      <alignment/>
    </xf>
    <xf numFmtId="0" fontId="20" fillId="0" borderId="0" xfId="0" applyFont="1" applyFill="1" applyBorder="1" applyAlignment="1">
      <alignment/>
    </xf>
    <xf numFmtId="182" fontId="28" fillId="0" borderId="0" xfId="0" applyNumberFormat="1" applyFont="1" applyBorder="1" applyAlignment="1">
      <alignment/>
    </xf>
    <xf numFmtId="0" fontId="20" fillId="0" borderId="3" xfId="0" applyFont="1" applyBorder="1" applyAlignment="1">
      <alignment/>
    </xf>
    <xf numFmtId="180" fontId="8" fillId="0" borderId="0" xfId="15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80" fontId="15" fillId="0" borderId="0" xfId="15" applyNumberFormat="1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183" fontId="0" fillId="0" borderId="3" xfId="0" applyNumberFormat="1" applyBorder="1" applyAlignment="1">
      <alignment/>
    </xf>
    <xf numFmtId="181" fontId="29" fillId="2" borderId="3" xfId="15" applyNumberFormat="1" applyFont="1" applyFill="1" applyBorder="1" applyAlignment="1">
      <alignment/>
    </xf>
    <xf numFmtId="0" fontId="8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180" fontId="0" fillId="0" borderId="0" xfId="15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182" fontId="2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180" fontId="31" fillId="0" borderId="0" xfId="15" applyNumberFormat="1" applyFont="1" applyBorder="1" applyAlignment="1">
      <alignment horizontal="center"/>
    </xf>
    <xf numFmtId="181" fontId="30" fillId="0" borderId="0" xfId="15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180" fontId="33" fillId="0" borderId="0" xfId="15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182" fontId="21" fillId="0" borderId="0" xfId="0" applyNumberFormat="1" applyFont="1" applyFill="1" applyBorder="1" applyAlignment="1">
      <alignment/>
    </xf>
    <xf numFmtId="43" fontId="34" fillId="0" borderId="1" xfId="15" applyFont="1" applyFill="1" applyBorder="1" applyAlignment="1">
      <alignment horizontal="center"/>
    </xf>
    <xf numFmtId="172" fontId="34" fillId="0" borderId="1" xfId="0" applyNumberFormat="1" applyFont="1" applyFill="1" applyBorder="1" applyAlignment="1">
      <alignment horizontal="center"/>
    </xf>
    <xf numFmtId="43" fontId="34" fillId="0" borderId="0" xfId="15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181" fontId="0" fillId="3" borderId="3" xfId="15" applyNumberFormat="1" applyFill="1" applyBorder="1" applyAlignment="1">
      <alignment/>
    </xf>
    <xf numFmtId="181" fontId="20" fillId="3" borderId="3" xfId="15" applyNumberFormat="1" applyFont="1" applyFill="1" applyBorder="1" applyAlignment="1">
      <alignment/>
    </xf>
    <xf numFmtId="43" fontId="37" fillId="0" borderId="0" xfId="15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9" fontId="2" fillId="0" borderId="0" xfId="2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81" fontId="8" fillId="0" borderId="11" xfId="15" applyNumberFormat="1" applyFont="1" applyFill="1" applyBorder="1" applyAlignment="1">
      <alignment/>
    </xf>
    <xf numFmtId="183" fontId="8" fillId="0" borderId="12" xfId="0" applyNumberFormat="1" applyFont="1" applyFill="1" applyBorder="1" applyAlignment="1">
      <alignment/>
    </xf>
    <xf numFmtId="43" fontId="32" fillId="0" borderId="0" xfId="15" applyFont="1" applyFill="1" applyBorder="1" applyAlignment="1">
      <alignment/>
    </xf>
    <xf numFmtId="43" fontId="32" fillId="0" borderId="0" xfId="15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181" fontId="0" fillId="2" borderId="3" xfId="15" applyNumberFormat="1" applyFill="1" applyBorder="1" applyAlignment="1">
      <alignment/>
    </xf>
    <xf numFmtId="181" fontId="0" fillId="0" borderId="1" xfId="15" applyNumberFormat="1" applyBorder="1" applyAlignment="1">
      <alignment/>
    </xf>
    <xf numFmtId="181" fontId="0" fillId="0" borderId="15" xfId="0" applyNumberFormat="1" applyFill="1" applyBorder="1" applyAlignment="1">
      <alignment/>
    </xf>
    <xf numFmtId="181" fontId="0" fillId="0" borderId="9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20" fillId="3" borderId="17" xfId="15" applyNumberFormat="1" applyFont="1" applyFill="1" applyBorder="1" applyAlignment="1">
      <alignment/>
    </xf>
    <xf numFmtId="181" fontId="20" fillId="3" borderId="18" xfId="15" applyNumberFormat="1" applyFont="1" applyFill="1" applyBorder="1" applyAlignment="1">
      <alignment/>
    </xf>
    <xf numFmtId="181" fontId="20" fillId="0" borderId="15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81" fontId="41" fillId="0" borderId="0" xfId="15" applyNumberFormat="1" applyFont="1" applyFill="1" applyBorder="1" applyAlignment="1">
      <alignment/>
    </xf>
    <xf numFmtId="181" fontId="41" fillId="0" borderId="1" xfId="15" applyNumberFormat="1" applyFont="1" applyFill="1" applyBorder="1" applyAlignment="1">
      <alignment/>
    </xf>
    <xf numFmtId="181" fontId="43" fillId="0" borderId="11" xfId="15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181" fontId="7" fillId="0" borderId="0" xfId="15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183" fontId="8" fillId="0" borderId="23" xfId="0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181" fontId="43" fillId="0" borderId="0" xfId="15" applyNumberFormat="1" applyFont="1" applyFill="1" applyBorder="1" applyAlignment="1">
      <alignment/>
    </xf>
    <xf numFmtId="181" fontId="43" fillId="0" borderId="1" xfId="15" applyNumberFormat="1" applyFont="1" applyFill="1" applyBorder="1" applyAlignment="1">
      <alignment/>
    </xf>
    <xf numFmtId="0" fontId="43" fillId="0" borderId="25" xfId="0" applyFont="1" applyBorder="1" applyAlignment="1">
      <alignment horizontal="center" wrapText="1"/>
    </xf>
    <xf numFmtId="1" fontId="43" fillId="0" borderId="26" xfId="0" applyNumberFormat="1" applyFont="1" applyFill="1" applyBorder="1" applyAlignment="1">
      <alignment horizontal="center"/>
    </xf>
    <xf numFmtId="1" fontId="43" fillId="0" borderId="27" xfId="0" applyNumberFormat="1" applyFont="1" applyFill="1" applyBorder="1" applyAlignment="1">
      <alignment horizontal="center"/>
    </xf>
    <xf numFmtId="181" fontId="43" fillId="0" borderId="28" xfId="15" applyNumberFormat="1" applyFont="1" applyFill="1" applyBorder="1" applyAlignment="1">
      <alignment horizontal="center"/>
    </xf>
    <xf numFmtId="0" fontId="44" fillId="0" borderId="25" xfId="0" applyFont="1" applyBorder="1" applyAlignment="1">
      <alignment horizontal="center" wrapText="1"/>
    </xf>
    <xf numFmtId="9" fontId="44" fillId="0" borderId="26" xfId="21" applyFont="1" applyFill="1" applyBorder="1" applyAlignment="1">
      <alignment horizontal="center"/>
    </xf>
    <xf numFmtId="9" fontId="44" fillId="0" borderId="29" xfId="21" applyFont="1" applyFill="1" applyBorder="1" applyAlignment="1">
      <alignment horizontal="center"/>
    </xf>
    <xf numFmtId="0" fontId="19" fillId="5" borderId="25" xfId="0" applyFont="1" applyFill="1" applyBorder="1" applyAlignment="1">
      <alignment horizontal="center" wrapText="1"/>
    </xf>
    <xf numFmtId="181" fontId="7" fillId="0" borderId="26" xfId="0" applyNumberFormat="1" applyFont="1" applyFill="1" applyBorder="1" applyAlignment="1">
      <alignment horizontal="center"/>
    </xf>
    <xf numFmtId="181" fontId="8" fillId="0" borderId="29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35" fillId="0" borderId="30" xfId="0" applyFont="1" applyFill="1" applyBorder="1" applyAlignment="1">
      <alignment horizontal="center"/>
    </xf>
    <xf numFmtId="0" fontId="30" fillId="0" borderId="30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181" fontId="19" fillId="0" borderId="31" xfId="15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4" fillId="0" borderId="32" xfId="0" applyFont="1" applyFill="1" applyBorder="1" applyAlignment="1">
      <alignment horizontal="center"/>
    </xf>
    <xf numFmtId="181" fontId="30" fillId="0" borderId="32" xfId="15" applyNumberFormat="1" applyFont="1" applyFill="1" applyBorder="1" applyAlignment="1">
      <alignment horizontal="center"/>
    </xf>
    <xf numFmtId="181" fontId="34" fillId="0" borderId="11" xfId="15" applyNumberFormat="1" applyFont="1" applyFill="1" applyBorder="1" applyAlignment="1">
      <alignment horizontal="center"/>
    </xf>
    <xf numFmtId="0" fontId="19" fillId="5" borderId="33" xfId="0" applyFont="1" applyFill="1" applyBorder="1" applyAlignment="1">
      <alignment horizontal="center" wrapText="1"/>
    </xf>
    <xf numFmtId="181" fontId="21" fillId="5" borderId="34" xfId="15" applyNumberFormat="1" applyFont="1" applyFill="1" applyBorder="1" applyAlignment="1">
      <alignment/>
    </xf>
    <xf numFmtId="0" fontId="1" fillId="0" borderId="7" xfId="0" applyFont="1" applyBorder="1" applyAlignment="1">
      <alignment horizontal="center" wrapText="1"/>
    </xf>
    <xf numFmtId="181" fontId="1" fillId="0" borderId="35" xfId="15" applyNumberFormat="1" applyFont="1" applyFill="1" applyBorder="1" applyAlignment="1">
      <alignment/>
    </xf>
    <xf numFmtId="181" fontId="14" fillId="0" borderId="21" xfId="15" applyNumberFormat="1" applyFont="1" applyFill="1" applyBorder="1" applyAlignment="1">
      <alignment/>
    </xf>
    <xf numFmtId="181" fontId="1" fillId="0" borderId="5" xfId="15" applyNumberFormat="1" applyFont="1" applyFill="1" applyBorder="1" applyAlignment="1">
      <alignment/>
    </xf>
    <xf numFmtId="181" fontId="14" fillId="0" borderId="23" xfId="15" applyNumberFormat="1" applyFont="1" applyFill="1" applyBorder="1" applyAlignment="1">
      <alignment/>
    </xf>
    <xf numFmtId="181" fontId="8" fillId="0" borderId="36" xfId="15" applyNumberFormat="1" applyFont="1" applyFill="1" applyBorder="1" applyAlignment="1">
      <alignment horizontal="center"/>
    </xf>
    <xf numFmtId="181" fontId="43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center" wrapText="1"/>
    </xf>
    <xf numFmtId="180" fontId="33" fillId="0" borderId="0" xfId="15" applyNumberFormat="1" applyFont="1" applyBorder="1" applyAlignment="1">
      <alignment horizontal="center"/>
    </xf>
    <xf numFmtId="180" fontId="33" fillId="0" borderId="0" xfId="15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1" fillId="0" borderId="20" xfId="0" applyFont="1" applyFill="1" applyBorder="1" applyAlignment="1">
      <alignment/>
    </xf>
    <xf numFmtId="183" fontId="45" fillId="0" borderId="21" xfId="0" applyNumberFormat="1" applyFont="1" applyFill="1" applyBorder="1" applyAlignment="1">
      <alignment/>
    </xf>
    <xf numFmtId="0" fontId="41" fillId="0" borderId="22" xfId="0" applyFont="1" applyFill="1" applyBorder="1" applyAlignment="1">
      <alignment/>
    </xf>
    <xf numFmtId="183" fontId="45" fillId="0" borderId="23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183" fontId="43" fillId="0" borderId="12" xfId="0" applyNumberFormat="1" applyFont="1" applyFill="1" applyBorder="1" applyAlignment="1">
      <alignment/>
    </xf>
    <xf numFmtId="181" fontId="0" fillId="0" borderId="0" xfId="15" applyNumberFormat="1" applyFont="1" applyFill="1" applyBorder="1" applyAlignment="1">
      <alignment/>
    </xf>
    <xf numFmtId="181" fontId="0" fillId="0" borderId="1" xfId="15" applyNumberFormat="1" applyFont="1" applyFill="1" applyBorder="1" applyAlignment="1">
      <alignment/>
    </xf>
    <xf numFmtId="0" fontId="43" fillId="0" borderId="19" xfId="0" applyFont="1" applyFill="1" applyBorder="1" applyAlignment="1">
      <alignment horizontal="center"/>
    </xf>
    <xf numFmtId="0" fontId="43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 horizontal="center" wrapText="1"/>
    </xf>
    <xf numFmtId="9" fontId="46" fillId="0" borderId="0" xfId="21" applyFont="1" applyBorder="1" applyAlignment="1">
      <alignment horizontal="center"/>
    </xf>
    <xf numFmtId="9" fontId="47" fillId="0" borderId="0" xfId="21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181" fontId="0" fillId="0" borderId="3" xfId="15" applyNumberFormat="1" applyFont="1" applyFill="1" applyBorder="1" applyAlignment="1">
      <alignment/>
    </xf>
    <xf numFmtId="181" fontId="0" fillId="0" borderId="37" xfId="15" applyNumberFormat="1" applyFont="1" applyFill="1" applyBorder="1" applyAlignment="1">
      <alignment/>
    </xf>
    <xf numFmtId="181" fontId="0" fillId="0" borderId="37" xfId="15" applyNumberForma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0" fillId="0" borderId="0" xfId="15" applyNumberFormat="1" applyFill="1" applyBorder="1" applyAlignment="1">
      <alignment/>
    </xf>
    <xf numFmtId="181" fontId="0" fillId="0" borderId="3" xfId="15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81" fontId="0" fillId="0" borderId="38" xfId="0" applyNumberFormat="1" applyBorder="1" applyAlignment="1">
      <alignment/>
    </xf>
    <xf numFmtId="183" fontId="0" fillId="2" borderId="39" xfId="0" applyNumberFormat="1" applyFill="1" applyBorder="1" applyAlignment="1">
      <alignment/>
    </xf>
    <xf numFmtId="181" fontId="0" fillId="2" borderId="38" xfId="0" applyNumberFormat="1" applyFill="1" applyBorder="1" applyAlignment="1">
      <alignment/>
    </xf>
    <xf numFmtId="183" fontId="0" fillId="0" borderId="39" xfId="0" applyNumberFormat="1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172" fontId="34" fillId="0" borderId="35" xfId="0" applyNumberFormat="1" applyFont="1" applyBorder="1" applyAlignment="1">
      <alignment horizontal="center"/>
    </xf>
    <xf numFmtId="172" fontId="34" fillId="0" borderId="31" xfId="0" applyNumberFormat="1" applyFont="1" applyFill="1" applyBorder="1" applyAlignment="1">
      <alignment horizontal="center" wrapText="1"/>
    </xf>
    <xf numFmtId="183" fontId="15" fillId="0" borderId="38" xfId="0" applyNumberFormat="1" applyFont="1" applyBorder="1" applyAlignment="1">
      <alignment/>
    </xf>
    <xf numFmtId="183" fontId="0" fillId="2" borderId="39" xfId="0" applyNumberFormat="1" applyFont="1" applyFill="1" applyBorder="1" applyAlignment="1">
      <alignment/>
    </xf>
    <xf numFmtId="183" fontId="15" fillId="0" borderId="38" xfId="0" applyNumberFormat="1" applyFont="1" applyFill="1" applyBorder="1" applyAlignment="1">
      <alignment/>
    </xf>
    <xf numFmtId="181" fontId="8" fillId="0" borderId="40" xfId="15" applyNumberFormat="1" applyFont="1" applyBorder="1" applyAlignment="1">
      <alignment/>
    </xf>
    <xf numFmtId="183" fontId="8" fillId="0" borderId="41" xfId="0" applyNumberFormat="1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181" fontId="1" fillId="0" borderId="26" xfId="15" applyNumberFormat="1" applyFont="1" applyBorder="1" applyAlignment="1">
      <alignment/>
    </xf>
    <xf numFmtId="181" fontId="8" fillId="3" borderId="29" xfId="15" applyNumberFormat="1" applyFont="1" applyFill="1" applyBorder="1" applyAlignment="1">
      <alignment/>
    </xf>
    <xf numFmtId="0" fontId="52" fillId="0" borderId="43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/>
    </xf>
    <xf numFmtId="0" fontId="32" fillId="0" borderId="26" xfId="0" applyFont="1" applyFill="1" applyBorder="1" applyAlignment="1">
      <alignment/>
    </xf>
    <xf numFmtId="181" fontId="32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81" fontId="8" fillId="0" borderId="0" xfId="15" applyNumberFormat="1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80" fontId="31" fillId="0" borderId="0" xfId="0" applyNumberFormat="1" applyFont="1" applyAlignment="1">
      <alignment horizontal="center"/>
    </xf>
    <xf numFmtId="0" fontId="33" fillId="0" borderId="30" xfId="0" applyFont="1" applyFill="1" applyBorder="1" applyAlignment="1">
      <alignment horizontal="center" wrapText="1"/>
    </xf>
    <xf numFmtId="0" fontId="0" fillId="0" borderId="38" xfId="0" applyBorder="1" applyAlignment="1">
      <alignment/>
    </xf>
    <xf numFmtId="0" fontId="9" fillId="0" borderId="44" xfId="0" applyFont="1" applyFill="1" applyBorder="1" applyAlignment="1">
      <alignment wrapText="1"/>
    </xf>
    <xf numFmtId="181" fontId="8" fillId="0" borderId="40" xfId="15" applyNumberFormat="1" applyFont="1" applyFill="1" applyBorder="1" applyAlignment="1">
      <alignment/>
    </xf>
    <xf numFmtId="181" fontId="32" fillId="0" borderId="45" xfId="15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 wrapText="1"/>
    </xf>
    <xf numFmtId="0" fontId="12" fillId="6" borderId="19" xfId="0" applyFont="1" applyFill="1" applyBorder="1" applyAlignment="1">
      <alignment horizontal="center" wrapText="1"/>
    </xf>
    <xf numFmtId="181" fontId="57" fillId="6" borderId="12" xfId="15" applyNumberFormat="1" applyFont="1" applyFill="1" applyBorder="1" applyAlignment="1">
      <alignment/>
    </xf>
    <xf numFmtId="183" fontId="55" fillId="6" borderId="44" xfId="0" applyNumberFormat="1" applyFont="1" applyFill="1" applyBorder="1" applyAlignment="1">
      <alignment/>
    </xf>
    <xf numFmtId="181" fontId="21" fillId="6" borderId="46" xfId="0" applyNumberFormat="1" applyFont="1" applyFill="1" applyBorder="1" applyAlignment="1">
      <alignment/>
    </xf>
    <xf numFmtId="181" fontId="21" fillId="6" borderId="45" xfId="0" applyNumberFormat="1" applyFont="1" applyFill="1" applyBorder="1" applyAlignment="1">
      <alignment/>
    </xf>
    <xf numFmtId="181" fontId="21" fillId="6" borderId="34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9" fontId="58" fillId="0" borderId="0" xfId="21" applyFont="1" applyFill="1" applyBorder="1" applyAlignment="1">
      <alignment/>
    </xf>
    <xf numFmtId="0" fontId="20" fillId="0" borderId="47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48" xfId="0" applyFont="1" applyFill="1" applyBorder="1" applyAlignment="1">
      <alignment horizontal="right"/>
    </xf>
    <xf numFmtId="181" fontId="20" fillId="0" borderId="9" xfId="15" applyNumberFormat="1" applyFont="1" applyBorder="1" applyAlignment="1">
      <alignment/>
    </xf>
    <xf numFmtId="0" fontId="20" fillId="0" borderId="49" xfId="0" applyFont="1" applyFill="1" applyBorder="1" applyAlignment="1">
      <alignment horizontal="right"/>
    </xf>
    <xf numFmtId="181" fontId="20" fillId="0" borderId="15" xfId="15" applyNumberFormat="1" applyFont="1" applyBorder="1" applyAlignment="1">
      <alignment/>
    </xf>
    <xf numFmtId="0" fontId="39" fillId="0" borderId="37" xfId="0" applyFont="1" applyFill="1" applyBorder="1" applyAlignment="1">
      <alignment wrapText="1"/>
    </xf>
    <xf numFmtId="181" fontId="39" fillId="0" borderId="50" xfId="0" applyNumberFormat="1" applyFont="1" applyFill="1" applyBorder="1" applyAlignment="1">
      <alignment/>
    </xf>
    <xf numFmtId="0" fontId="0" fillId="0" borderId="51" xfId="0" applyFill="1" applyBorder="1" applyAlignment="1">
      <alignment/>
    </xf>
    <xf numFmtId="14" fontId="2" fillId="0" borderId="52" xfId="0" applyNumberFormat="1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181" fontId="53" fillId="0" borderId="14" xfId="15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81" fontId="8" fillId="0" borderId="0" xfId="0" applyNumberFormat="1" applyFont="1" applyBorder="1" applyAlignment="1">
      <alignment/>
    </xf>
    <xf numFmtId="0" fontId="33" fillId="0" borderId="19" xfId="0" applyFont="1" applyBorder="1" applyAlignment="1">
      <alignment horizontal="center" wrapText="1"/>
    </xf>
    <xf numFmtId="0" fontId="33" fillId="0" borderId="39" xfId="0" applyFont="1" applyBorder="1" applyAlignment="1">
      <alignment/>
    </xf>
    <xf numFmtId="180" fontId="33" fillId="0" borderId="39" xfId="15" applyNumberFormat="1" applyFont="1" applyBorder="1" applyAlignment="1">
      <alignment/>
    </xf>
    <xf numFmtId="180" fontId="30" fillId="7" borderId="41" xfId="15" applyNumberFormat="1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172" fontId="59" fillId="0" borderId="37" xfId="0" applyNumberFormat="1" applyFont="1" applyFill="1" applyBorder="1" applyAlignment="1">
      <alignment horizontal="center" wrapText="1"/>
    </xf>
    <xf numFmtId="172" fontId="20" fillId="0" borderId="50" xfId="0" applyNumberFormat="1" applyFont="1" applyFill="1" applyBorder="1" applyAlignment="1">
      <alignment horizontal="center"/>
    </xf>
    <xf numFmtId="0" fontId="59" fillId="3" borderId="37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/>
    </xf>
    <xf numFmtId="0" fontId="20" fillId="3" borderId="51" xfId="0" applyFont="1" applyFill="1" applyBorder="1" applyAlignment="1">
      <alignment horizontal="center"/>
    </xf>
    <xf numFmtId="0" fontId="54" fillId="6" borderId="20" xfId="0" applyFont="1" applyFill="1" applyBorder="1" applyAlignment="1">
      <alignment horizontal="center"/>
    </xf>
    <xf numFmtId="0" fontId="54" fillId="6" borderId="0" xfId="0" applyFont="1" applyFill="1" applyBorder="1" applyAlignment="1">
      <alignment horizontal="center"/>
    </xf>
    <xf numFmtId="0" fontId="54" fillId="6" borderId="31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'maj ja üldkulud'!$Y$21</c:f>
              <c:strCache>
                <c:ptCount val="1"/>
                <c:pt idx="0">
                  <c:v>art.50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'maj ja üldkulud'!$X$22:$X$27</c:f>
              <c:strCache>
                <c:ptCount val="6"/>
                <c:pt idx="0">
                  <c:v>Lotte</c:v>
                </c:pt>
                <c:pt idx="1">
                  <c:v>Sipsik</c:v>
                </c:pt>
                <c:pt idx="2">
                  <c:v>Meelespea</c:v>
                </c:pt>
                <c:pt idx="3">
                  <c:v>Midrimaa</c:v>
                </c:pt>
                <c:pt idx="4">
                  <c:v>Helika</c:v>
                </c:pt>
                <c:pt idx="5">
                  <c:v>Rukkilill</c:v>
                </c:pt>
              </c:strCache>
            </c:strRef>
          </c:cat>
          <c:val>
            <c:numRef>
              <c:f>'maj ja üldkulud'!$Y$22:$Y$27</c:f>
              <c:numCache>
                <c:ptCount val="6"/>
                <c:pt idx="0">
                  <c:v>3865</c:v>
                </c:pt>
                <c:pt idx="1">
                  <c:v>3531</c:v>
                </c:pt>
                <c:pt idx="2">
                  <c:v>3591</c:v>
                </c:pt>
                <c:pt idx="3">
                  <c:v>3566</c:v>
                </c:pt>
                <c:pt idx="4">
                  <c:v>3646</c:v>
                </c:pt>
                <c:pt idx="5">
                  <c:v>3461</c:v>
                </c:pt>
              </c:numCache>
            </c:numRef>
          </c:val>
        </c:ser>
        <c:ser>
          <c:idx val="1"/>
          <c:order val="1"/>
          <c:tx>
            <c:strRef>
              <c:f>'maj ja üldkulud'!$Z$21</c:f>
              <c:strCache>
                <c:ptCount val="1"/>
                <c:pt idx="0">
                  <c:v>art.55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'maj ja üldkulud'!$X$22:$X$27</c:f>
              <c:strCache>
                <c:ptCount val="6"/>
                <c:pt idx="0">
                  <c:v>Lotte</c:v>
                </c:pt>
                <c:pt idx="1">
                  <c:v>Sipsik</c:v>
                </c:pt>
                <c:pt idx="2">
                  <c:v>Meelespea</c:v>
                </c:pt>
                <c:pt idx="3">
                  <c:v>Midrimaa</c:v>
                </c:pt>
                <c:pt idx="4">
                  <c:v>Helika</c:v>
                </c:pt>
                <c:pt idx="5">
                  <c:v>Rukkilill</c:v>
                </c:pt>
              </c:strCache>
            </c:strRef>
          </c:cat>
          <c:val>
            <c:numRef>
              <c:f>'maj ja üldkulud'!$Z$22:$Z$27</c:f>
              <c:numCache>
                <c:ptCount val="6"/>
                <c:pt idx="0">
                  <c:v>819</c:v>
                </c:pt>
                <c:pt idx="1">
                  <c:v>746</c:v>
                </c:pt>
                <c:pt idx="2">
                  <c:v>682</c:v>
                </c:pt>
                <c:pt idx="3">
                  <c:v>679</c:v>
                </c:pt>
                <c:pt idx="4">
                  <c:v>612</c:v>
                </c:pt>
                <c:pt idx="5">
                  <c:v>601</c:v>
                </c:pt>
              </c:numCache>
            </c:numRef>
          </c:val>
        </c:ser>
        <c:axId val="53437397"/>
        <c:axId val="1186758"/>
      </c:barChart>
      <c:catAx>
        <c:axId val="53437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6758"/>
        <c:crosses val="autoZero"/>
        <c:auto val="1"/>
        <c:lblOffset val="100"/>
        <c:noMultiLvlLbl val="0"/>
      </c:catAx>
      <c:valAx>
        <c:axId val="1186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37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5591175"/>
    <xdr:graphicFrame>
      <xdr:nvGraphicFramePr>
        <xdr:cNvPr id="1" name="Chart 1"/>
        <xdr:cNvGraphicFramePr/>
      </xdr:nvGraphicFramePr>
      <xdr:xfrm>
        <a:off x="0" y="0"/>
        <a:ext cx="93630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1.421875" style="1" customWidth="1"/>
    <col min="2" max="2" width="25.421875" style="1" customWidth="1"/>
    <col min="3" max="3" width="14.28125" style="1" customWidth="1"/>
    <col min="4" max="4" width="12.28125" style="1" customWidth="1"/>
    <col min="5" max="5" width="14.8515625" style="1" customWidth="1"/>
    <col min="6" max="6" width="14.140625" style="2" customWidth="1"/>
    <col min="7" max="7" width="12.8515625" style="2" customWidth="1"/>
    <col min="8" max="8" width="14.421875" style="2" customWidth="1"/>
    <col min="9" max="17" width="9.140625" style="2" customWidth="1"/>
    <col min="18" max="16384" width="9.140625" style="1" customWidth="1"/>
  </cols>
  <sheetData>
    <row r="1" spans="1:8" ht="92.25" customHeight="1">
      <c r="A1" s="248">
        <v>40084</v>
      </c>
      <c r="B1" s="105" t="s">
        <v>59</v>
      </c>
      <c r="C1" s="267" t="s">
        <v>98</v>
      </c>
      <c r="D1" s="268"/>
      <c r="E1" s="268"/>
      <c r="F1" s="269" t="s">
        <v>97</v>
      </c>
      <c r="G1" s="270"/>
      <c r="H1" s="271"/>
    </row>
    <row r="2" spans="1:8" ht="43.5" customHeight="1">
      <c r="A2" s="11"/>
      <c r="B2" s="27" t="s">
        <v>96</v>
      </c>
      <c r="C2" s="28" t="s">
        <v>17</v>
      </c>
      <c r="D2" s="29" t="s">
        <v>5</v>
      </c>
      <c r="E2" s="29" t="s">
        <v>12</v>
      </c>
      <c r="F2" s="87" t="s">
        <v>17</v>
      </c>
      <c r="G2" s="88" t="s">
        <v>5</v>
      </c>
      <c r="H2" s="88" t="s">
        <v>12</v>
      </c>
    </row>
    <row r="3" spans="1:8" ht="12.75">
      <c r="A3" s="11">
        <v>1</v>
      </c>
      <c r="B3" s="11" t="s">
        <v>26</v>
      </c>
      <c r="C3" s="31">
        <f aca="true" t="shared" si="0" ref="C3:E8">SUM(F3)*12</f>
        <v>34494.45371142619</v>
      </c>
      <c r="D3" s="31">
        <f t="shared" si="0"/>
        <v>26395.829858215177</v>
      </c>
      <c r="E3" s="106">
        <f t="shared" si="0"/>
        <v>0</v>
      </c>
      <c r="F3" s="89">
        <f>SUM('person kulud'!L3)+'maj ja üldkulud'!AD3</f>
        <v>2874.537809285516</v>
      </c>
      <c r="G3" s="89">
        <f>SUM('person kulud'!M3)+'maj ja üldkulud'!AD3</f>
        <v>2199.652488184598</v>
      </c>
      <c r="H3" s="106"/>
    </row>
    <row r="4" spans="1:8" ht="12.75">
      <c r="A4" s="11">
        <v>2</v>
      </c>
      <c r="B4" s="11" t="s">
        <v>22</v>
      </c>
      <c r="C4" s="106">
        <f t="shared" si="0"/>
        <v>0</v>
      </c>
      <c r="D4" s="31">
        <f t="shared" si="0"/>
        <v>30370.58823529412</v>
      </c>
      <c r="E4" s="106">
        <f t="shared" si="0"/>
        <v>0</v>
      </c>
      <c r="F4" s="106"/>
      <c r="G4" s="89">
        <f>SUM('person kulud'!M4)+'maj ja üldkulud'!AD4</f>
        <v>2530.8823529411766</v>
      </c>
      <c r="H4" s="106"/>
    </row>
    <row r="5" spans="1:8" ht="12.75">
      <c r="A5" s="11">
        <v>3</v>
      </c>
      <c r="B5" s="11" t="s">
        <v>7</v>
      </c>
      <c r="C5" s="31">
        <f t="shared" si="0"/>
        <v>34272.7292772955</v>
      </c>
      <c r="D5" s="31">
        <f t="shared" si="0"/>
        <v>26039.923941739013</v>
      </c>
      <c r="E5" s="106">
        <f t="shared" si="0"/>
        <v>0</v>
      </c>
      <c r="F5" s="89">
        <f>SUM('person kulud'!L5)+'maj ja üldkulud'!AD5</f>
        <v>2856.060773107958</v>
      </c>
      <c r="G5" s="89">
        <f>SUM('person kulud'!M5)+'maj ja üldkulud'!AD5</f>
        <v>2169.9936618115844</v>
      </c>
      <c r="H5" s="106"/>
    </row>
    <row r="6" spans="1:8" ht="12.75">
      <c r="A6" s="11">
        <v>4</v>
      </c>
      <c r="B6" s="11" t="s">
        <v>8</v>
      </c>
      <c r="C6" s="31">
        <f t="shared" si="0"/>
        <v>34273.68076070343</v>
      </c>
      <c r="D6" s="31">
        <f t="shared" si="0"/>
        <v>25914.781219227814</v>
      </c>
      <c r="E6" s="106">
        <f t="shared" si="0"/>
        <v>0</v>
      </c>
      <c r="F6" s="89">
        <f>SUM('person kulud'!L6)+'maj ja üldkulud'!AD6</f>
        <v>2856.1400633919525</v>
      </c>
      <c r="G6" s="89">
        <f>SUM('person kulud'!M6)+'maj ja üldkulud'!AD6</f>
        <v>2159.565101602318</v>
      </c>
      <c r="H6" s="106"/>
    </row>
    <row r="7" spans="1:8" ht="12.75">
      <c r="A7" s="11">
        <v>5</v>
      </c>
      <c r="B7" s="11" t="s">
        <v>9</v>
      </c>
      <c r="C7" s="31">
        <f t="shared" si="0"/>
        <v>35676.85950413223</v>
      </c>
      <c r="D7" s="31">
        <f t="shared" si="0"/>
        <v>27145.759025663327</v>
      </c>
      <c r="E7" s="106">
        <f t="shared" si="0"/>
        <v>0</v>
      </c>
      <c r="F7" s="89">
        <f>SUM('person kulud'!L7)+'maj ja üldkulud'!AD7</f>
        <v>2973.071625344353</v>
      </c>
      <c r="G7" s="89">
        <f>SUM('person kulud'!M7)+'maj ja üldkulud'!AD7</f>
        <v>2262.146585471944</v>
      </c>
      <c r="H7" s="106"/>
    </row>
    <row r="8" spans="1:8" ht="12.75">
      <c r="A8" s="11">
        <v>6</v>
      </c>
      <c r="B8" s="11" t="s">
        <v>10</v>
      </c>
      <c r="C8" s="31">
        <f t="shared" si="0"/>
        <v>32644.43072258549</v>
      </c>
      <c r="D8" s="31">
        <f t="shared" si="0"/>
        <v>24709.666237383324</v>
      </c>
      <c r="E8" s="31">
        <f t="shared" si="0"/>
        <v>29518.61441023312</v>
      </c>
      <c r="F8" s="89">
        <f>SUM('person kulud'!L8)+'maj ja üldkulud'!AD8</f>
        <v>2720.369226882124</v>
      </c>
      <c r="G8" s="89">
        <f>SUM('person kulud'!M8)+'maj ja üldkulud'!AD8</f>
        <v>2059.138853115277</v>
      </c>
      <c r="H8" s="89">
        <f>SUM('person kulud'!N8)+'maj ja üldkulud'!AD8</f>
        <v>2459.8845341860933</v>
      </c>
    </row>
    <row r="9" spans="1:17" s="26" customFormat="1" ht="43.5" customHeight="1">
      <c r="A9" s="51"/>
      <c r="B9" s="32" t="s">
        <v>60</v>
      </c>
      <c r="C9" s="33">
        <f>SUM(C3:C8)/5</f>
        <v>34272.43079522857</v>
      </c>
      <c r="D9" s="33">
        <f>SUM(D3:D8)/6</f>
        <v>26762.75808625379</v>
      </c>
      <c r="E9" s="33">
        <f>SUM(E3:E8)</f>
        <v>29518.61441023312</v>
      </c>
      <c r="F9" s="90">
        <f>SUM(F3:F8)/5+4</f>
        <v>2860.035899602381</v>
      </c>
      <c r="G9" s="90">
        <f>SUM(G3:G8)/6</f>
        <v>2230.22984052115</v>
      </c>
      <c r="H9" s="90">
        <f>SUM(H3:H8)/1</f>
        <v>2459.8845341860933</v>
      </c>
      <c r="I9" s="49"/>
      <c r="J9" s="49"/>
      <c r="K9" s="49"/>
      <c r="L9" s="49"/>
      <c r="M9" s="49"/>
      <c r="N9" s="49"/>
      <c r="O9" s="49"/>
      <c r="P9" s="49"/>
      <c r="Q9" s="49"/>
    </row>
    <row r="10" ht="35.25" customHeight="1"/>
    <row r="11" spans="2:8" ht="15">
      <c r="B11" s="249" t="s">
        <v>100</v>
      </c>
      <c r="C11" s="239"/>
      <c r="F11" s="102"/>
      <c r="G11" s="102"/>
      <c r="H11" s="100"/>
    </row>
    <row r="12" spans="2:8" ht="15">
      <c r="B12" s="250" t="s">
        <v>99</v>
      </c>
      <c r="C12" s="240"/>
      <c r="F12" s="101"/>
      <c r="G12" s="101"/>
      <c r="H12" s="99"/>
    </row>
    <row r="13" spans="2:8" ht="15">
      <c r="B13" s="241" t="s">
        <v>17</v>
      </c>
      <c r="C13" s="242">
        <v>2205</v>
      </c>
      <c r="F13" s="49"/>
      <c r="G13" s="49"/>
      <c r="H13" s="91"/>
    </row>
    <row r="14" spans="2:8" ht="43.5">
      <c r="B14" s="243" t="s">
        <v>25</v>
      </c>
      <c r="C14" s="244">
        <v>1470</v>
      </c>
      <c r="E14" s="245" t="s">
        <v>82</v>
      </c>
      <c r="F14" s="246">
        <f>SUM(C13-F9)</f>
        <v>-655.035899602381</v>
      </c>
      <c r="G14" s="246">
        <f>SUM(C14-G9)</f>
        <v>-760.22984052115</v>
      </c>
      <c r="H14" s="247"/>
    </row>
    <row r="16" spans="6:7" ht="12.75">
      <c r="F16" s="237" t="s">
        <v>83</v>
      </c>
      <c r="G16" s="238">
        <v>0.3</v>
      </c>
    </row>
    <row r="17" spans="6:7" ht="12.75">
      <c r="F17" s="237" t="s">
        <v>84</v>
      </c>
      <c r="G17" s="238">
        <v>0.52</v>
      </c>
    </row>
    <row r="18" spans="6:7" ht="12.75">
      <c r="F18" s="12"/>
      <c r="G18" s="94"/>
    </row>
    <row r="19" spans="1:7" ht="25.5" customHeight="1">
      <c r="A19" s="110"/>
      <c r="B19" s="28" t="s">
        <v>61</v>
      </c>
      <c r="C19" s="261" t="s">
        <v>17</v>
      </c>
      <c r="D19" s="262" t="s">
        <v>25</v>
      </c>
      <c r="E19" s="263" t="s">
        <v>95</v>
      </c>
      <c r="F19" s="265" t="s">
        <v>62</v>
      </c>
      <c r="G19" s="94"/>
    </row>
    <row r="20" spans="1:6" ht="23.25" customHeight="1">
      <c r="A20" s="112"/>
      <c r="B20" s="188" t="s">
        <v>14</v>
      </c>
      <c r="C20" s="189">
        <v>183</v>
      </c>
      <c r="D20" s="189">
        <v>125</v>
      </c>
      <c r="E20" s="264"/>
      <c r="F20" s="266"/>
    </row>
    <row r="21" spans="1:6" ht="15">
      <c r="A21" s="111" t="s">
        <v>63</v>
      </c>
      <c r="B21" s="115">
        <v>2205</v>
      </c>
      <c r="C21" s="18">
        <f>SUM(B21*$C$20)</f>
        <v>403515</v>
      </c>
      <c r="D21" s="18"/>
      <c r="E21" s="113">
        <f>SUM(C21*12)</f>
        <v>4842180</v>
      </c>
      <c r="F21" s="67"/>
    </row>
    <row r="22" spans="1:6" ht="15">
      <c r="A22" s="112" t="s">
        <v>64</v>
      </c>
      <c r="B22" s="116">
        <v>2860</v>
      </c>
      <c r="C22" s="107">
        <f>SUM(B22*$C$20)</f>
        <v>523380</v>
      </c>
      <c r="D22" s="107"/>
      <c r="E22" s="114">
        <f>SUM(C22*12)</f>
        <v>6280560</v>
      </c>
      <c r="F22" s="108">
        <f>SUM(E22-E21)</f>
        <v>1438380</v>
      </c>
    </row>
    <row r="23" spans="1:6" ht="15">
      <c r="A23" s="111" t="s">
        <v>65</v>
      </c>
      <c r="B23" s="115">
        <v>1470</v>
      </c>
      <c r="C23" s="18"/>
      <c r="D23" s="18">
        <f>SUM(B23*$D$20)</f>
        <v>183750</v>
      </c>
      <c r="E23" s="113">
        <f>SUM(D23*12)</f>
        <v>2205000</v>
      </c>
      <c r="F23" s="67"/>
    </row>
    <row r="24" spans="1:6" ht="15">
      <c r="A24" s="112" t="s">
        <v>66</v>
      </c>
      <c r="B24" s="116">
        <v>2230</v>
      </c>
      <c r="C24" s="107"/>
      <c r="D24" s="107">
        <f>SUM(B24*$D$20)</f>
        <v>278750</v>
      </c>
      <c r="E24" s="114">
        <f>SUM(D24*12)</f>
        <v>3345000</v>
      </c>
      <c r="F24" s="108">
        <f>SUM(E24-E23)</f>
        <v>1140000</v>
      </c>
    </row>
    <row r="25" spans="1:6" ht="12.75">
      <c r="A25" s="111"/>
      <c r="B25" s="111" t="s">
        <v>67</v>
      </c>
      <c r="E25" s="113">
        <f>SUM(E21+E23)</f>
        <v>7047180</v>
      </c>
      <c r="F25" s="109"/>
    </row>
    <row r="26" spans="1:6" ht="16.5" customHeight="1">
      <c r="A26" s="112"/>
      <c r="B26" s="112" t="s">
        <v>68</v>
      </c>
      <c r="C26" s="8"/>
      <c r="D26" s="8"/>
      <c r="E26" s="114">
        <f>SUM(E22+E24)</f>
        <v>9625560</v>
      </c>
      <c r="F26" s="117">
        <f>SUM(E26-E25)</f>
        <v>2578380</v>
      </c>
    </row>
    <row r="27" ht="14.25">
      <c r="F27" s="118" t="s">
        <v>69</v>
      </c>
    </row>
  </sheetData>
  <mergeCells count="4">
    <mergeCell ref="E19:E20"/>
    <mergeCell ref="F19:F20"/>
    <mergeCell ref="C1:E1"/>
    <mergeCell ref="F1:H1"/>
  </mergeCells>
  <printOptions gridLines="1"/>
  <pageMargins left="0.9448818897637796" right="0.7480314960629921" top="0.7874015748031497" bottom="0.3937007874015748" header="0.5118110236220472" footer="0.31496062992125984"/>
  <pageSetup fitToHeight="1" fitToWidth="1" horizontalDpi="360" verticalDpi="360" orientation="landscape" paperSize="9" scale="78" r:id="rId1"/>
  <headerFooter alignWithMargins="0">
    <oddHeader>&amp;CKOHAMAKS ( kr.) 2009.a.</oddHeader>
    <oddFooter>&amp;L&amp;F 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9"/>
  <sheetViews>
    <sheetView workbookViewId="0" topLeftCell="A1">
      <pane xSplit="4" ySplit="2" topLeftCell="E3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C14" sqref="C14"/>
    </sheetView>
  </sheetViews>
  <sheetFormatPr defaultColWidth="9.140625" defaultRowHeight="12.75"/>
  <cols>
    <col min="1" max="1" width="16.140625" style="3" customWidth="1"/>
    <col min="2" max="2" width="9.8515625" style="0" customWidth="1"/>
    <col min="3" max="3" width="9.00390625" style="0" customWidth="1"/>
    <col min="4" max="4" width="7.421875" style="0" customWidth="1"/>
    <col min="5" max="5" width="11.7109375" style="223" customWidth="1"/>
    <col min="6" max="6" width="11.421875" style="260" customWidth="1"/>
    <col min="7" max="7" width="4.8515625" style="0" customWidth="1"/>
    <col min="8" max="8" width="14.28125" style="4" customWidth="1"/>
    <col min="9" max="9" width="14.57421875" style="4" customWidth="1"/>
    <col min="10" max="10" width="12.140625" style="0" customWidth="1"/>
    <col min="11" max="11" width="12.421875" style="0" customWidth="1"/>
    <col min="12" max="12" width="11.00390625" style="0" bestFit="1" customWidth="1"/>
    <col min="13" max="13" width="10.8515625" style="0" customWidth="1"/>
    <col min="14" max="14" width="11.421875" style="0" customWidth="1"/>
  </cols>
  <sheetData>
    <row r="1" spans="1:14" ht="108.75" customHeight="1">
      <c r="A1" s="47" t="s">
        <v>28</v>
      </c>
      <c r="B1" s="66" t="s">
        <v>15</v>
      </c>
      <c r="C1" s="66" t="s">
        <v>5</v>
      </c>
      <c r="D1" s="66" t="s">
        <v>30</v>
      </c>
      <c r="E1" s="225" t="s">
        <v>31</v>
      </c>
      <c r="F1" s="254" t="s">
        <v>16</v>
      </c>
      <c r="G1" s="220"/>
      <c r="H1" s="211" t="s">
        <v>91</v>
      </c>
      <c r="I1" s="230" t="s">
        <v>92</v>
      </c>
      <c r="J1" s="202" t="s">
        <v>86</v>
      </c>
      <c r="K1" s="203" t="s">
        <v>87</v>
      </c>
      <c r="L1" s="195" t="s">
        <v>88</v>
      </c>
      <c r="M1" s="196" t="s">
        <v>89</v>
      </c>
      <c r="N1" s="197" t="s">
        <v>90</v>
      </c>
    </row>
    <row r="2" spans="1:14" ht="39.75" customHeight="1">
      <c r="A2" s="25" t="s">
        <v>103</v>
      </c>
      <c r="B2" s="84">
        <v>1.33</v>
      </c>
      <c r="C2" s="85">
        <v>1</v>
      </c>
      <c r="D2" s="85">
        <v>1.2</v>
      </c>
      <c r="E2" s="222"/>
      <c r="F2" s="255"/>
      <c r="G2" s="190"/>
      <c r="H2" s="212" t="s">
        <v>4</v>
      </c>
      <c r="I2" s="204">
        <v>1</v>
      </c>
      <c r="J2" s="86">
        <v>1.33</v>
      </c>
      <c r="K2" s="205">
        <v>1.2</v>
      </c>
      <c r="L2" s="272" t="s">
        <v>93</v>
      </c>
      <c r="M2" s="273"/>
      <c r="N2" s="274"/>
    </row>
    <row r="3" spans="1:14" ht="23.25" customHeight="1">
      <c r="A3" s="226" t="s">
        <v>26</v>
      </c>
      <c r="B3" s="31">
        <f>SUM('laste arv'!B3)</f>
        <v>36</v>
      </c>
      <c r="C3" s="31">
        <f>SUM('laste arv'!C3)</f>
        <v>96</v>
      </c>
      <c r="D3" s="106">
        <f>SUM('laste arv'!D3)</f>
        <v>0</v>
      </c>
      <c r="E3" s="184">
        <f aca="true" t="shared" si="0" ref="E3:E8">SUM(B3:D3)</f>
        <v>132</v>
      </c>
      <c r="F3" s="256">
        <f aca="true" t="shared" si="1" ref="F3:F8">SUM(B3*$B$2+C3*$C$2+D3*$D$2)</f>
        <v>143.88</v>
      </c>
      <c r="G3" s="191"/>
      <c r="H3" s="213">
        <v>3531</v>
      </c>
      <c r="I3" s="206">
        <f aca="true" t="shared" si="2" ref="I3:I9">SUM(H3/F3)*1000</f>
        <v>24541.284403669724</v>
      </c>
      <c r="J3" s="30">
        <f aca="true" t="shared" si="3" ref="J3:J8">SUM(I3*$J$2)</f>
        <v>32639.908256880735</v>
      </c>
      <c r="K3" s="207"/>
      <c r="L3" s="198">
        <f aca="true" t="shared" si="4" ref="L3:L8">SUM(J3/12)</f>
        <v>2719.9923547400613</v>
      </c>
      <c r="M3" s="64">
        <f aca="true" t="shared" si="5" ref="M3:M8">SUM(I3/12)</f>
        <v>2045.1070336391438</v>
      </c>
      <c r="N3" s="199">
        <f aca="true" t="shared" si="6" ref="N3:N8">SUM(K3/12)</f>
        <v>0</v>
      </c>
    </row>
    <row r="4" spans="1:14" ht="14.25">
      <c r="A4" s="226" t="s">
        <v>22</v>
      </c>
      <c r="B4" s="106">
        <f>SUM('laste arv'!B4)</f>
        <v>0</v>
      </c>
      <c r="C4" s="31">
        <f>SUM('laste arv'!C4)</f>
        <v>136</v>
      </c>
      <c r="D4" s="106">
        <f>SUM('laste arv'!D4)</f>
        <v>0</v>
      </c>
      <c r="E4" s="184">
        <f t="shared" si="0"/>
        <v>136</v>
      </c>
      <c r="F4" s="256">
        <f t="shared" si="1"/>
        <v>136</v>
      </c>
      <c r="G4" s="191"/>
      <c r="H4" s="213">
        <v>3865</v>
      </c>
      <c r="I4" s="206">
        <f t="shared" si="2"/>
        <v>28419.11764705882</v>
      </c>
      <c r="J4" s="65"/>
      <c r="K4" s="207"/>
      <c r="L4" s="200">
        <f t="shared" si="4"/>
        <v>0</v>
      </c>
      <c r="M4" s="64">
        <f t="shared" si="5"/>
        <v>2368.2598039215686</v>
      </c>
      <c r="N4" s="199">
        <f t="shared" si="6"/>
        <v>0</v>
      </c>
    </row>
    <row r="5" spans="1:14" ht="14.25">
      <c r="A5" s="226" t="s">
        <v>7</v>
      </c>
      <c r="B5" s="31">
        <f>SUM('laste arv'!B5)</f>
        <v>18</v>
      </c>
      <c r="C5" s="31">
        <f>SUM('laste arv'!C5)</f>
        <v>120</v>
      </c>
      <c r="D5" s="106">
        <f>SUM('laste arv'!D5)</f>
        <v>0</v>
      </c>
      <c r="E5" s="184">
        <f t="shared" si="0"/>
        <v>138</v>
      </c>
      <c r="F5" s="256">
        <f t="shared" si="1"/>
        <v>143.94</v>
      </c>
      <c r="G5" s="191"/>
      <c r="H5" s="213">
        <v>3591</v>
      </c>
      <c r="I5" s="208">
        <f t="shared" si="2"/>
        <v>24947.894956231765</v>
      </c>
      <c r="J5" s="30">
        <f t="shared" si="3"/>
        <v>33180.70029178825</v>
      </c>
      <c r="K5" s="199"/>
      <c r="L5" s="198">
        <f t="shared" si="4"/>
        <v>2765.0583576490208</v>
      </c>
      <c r="M5" s="64">
        <f t="shared" si="5"/>
        <v>2078.991246352647</v>
      </c>
      <c r="N5" s="199">
        <f t="shared" si="6"/>
        <v>0</v>
      </c>
    </row>
    <row r="6" spans="1:14" ht="14.25">
      <c r="A6" s="226" t="s">
        <v>8</v>
      </c>
      <c r="B6" s="31">
        <f>SUM('laste arv'!B6)</f>
        <v>18</v>
      </c>
      <c r="C6" s="31">
        <f>SUM('laste arv'!C6)</f>
        <v>120</v>
      </c>
      <c r="D6" s="106">
        <f>SUM('laste arv'!D6)</f>
        <v>0</v>
      </c>
      <c r="E6" s="184">
        <f t="shared" si="0"/>
        <v>138</v>
      </c>
      <c r="F6" s="256">
        <f t="shared" si="1"/>
        <v>143.94</v>
      </c>
      <c r="G6" s="191"/>
      <c r="H6" s="213">
        <v>3646</v>
      </c>
      <c r="I6" s="208">
        <f t="shared" si="2"/>
        <v>25329.998610532166</v>
      </c>
      <c r="J6" s="30">
        <f t="shared" si="3"/>
        <v>33688.89815200778</v>
      </c>
      <c r="K6" s="199"/>
      <c r="L6" s="198">
        <f t="shared" si="4"/>
        <v>2807.4081793339815</v>
      </c>
      <c r="M6" s="64">
        <f t="shared" si="5"/>
        <v>2110.833217544347</v>
      </c>
      <c r="N6" s="199">
        <f t="shared" si="6"/>
        <v>0</v>
      </c>
    </row>
    <row r="7" spans="1:14" ht="14.25">
      <c r="A7" s="226" t="s">
        <v>9</v>
      </c>
      <c r="B7" s="31">
        <f>SUM('laste arv'!B7)</f>
        <v>18</v>
      </c>
      <c r="C7" s="31">
        <f>SUM('laste arv'!C7)</f>
        <v>114</v>
      </c>
      <c r="D7" s="106">
        <f>SUM('laste arv'!D7)</f>
        <v>0</v>
      </c>
      <c r="E7" s="184">
        <f t="shared" si="0"/>
        <v>132</v>
      </c>
      <c r="F7" s="256">
        <f t="shared" si="1"/>
        <v>137.94</v>
      </c>
      <c r="G7" s="191"/>
      <c r="H7" s="213">
        <v>3566</v>
      </c>
      <c r="I7" s="208">
        <f t="shared" si="2"/>
        <v>25851.819631723938</v>
      </c>
      <c r="J7" s="30">
        <f t="shared" si="3"/>
        <v>34382.92011019284</v>
      </c>
      <c r="K7" s="199"/>
      <c r="L7" s="198">
        <f t="shared" si="4"/>
        <v>2865.2433425160702</v>
      </c>
      <c r="M7" s="64">
        <f t="shared" si="5"/>
        <v>2154.3183026436614</v>
      </c>
      <c r="N7" s="199">
        <f t="shared" si="6"/>
        <v>0</v>
      </c>
    </row>
    <row r="8" spans="1:14" ht="14.25">
      <c r="A8" s="226" t="s">
        <v>10</v>
      </c>
      <c r="B8" s="31">
        <f>SUM('laste arv'!B8)</f>
        <v>18</v>
      </c>
      <c r="C8" s="31">
        <f>SUM('laste arv'!C8)</f>
        <v>96</v>
      </c>
      <c r="D8" s="31">
        <f>SUM('laste arv'!D8)</f>
        <v>20</v>
      </c>
      <c r="E8" s="184">
        <f t="shared" si="0"/>
        <v>134</v>
      </c>
      <c r="F8" s="256">
        <f t="shared" si="1"/>
        <v>143.94</v>
      </c>
      <c r="G8" s="191"/>
      <c r="H8" s="213">
        <v>3461</v>
      </c>
      <c r="I8" s="208">
        <f t="shared" si="2"/>
        <v>24044.740864248994</v>
      </c>
      <c r="J8" s="30">
        <f t="shared" si="3"/>
        <v>31979.505349451163</v>
      </c>
      <c r="K8" s="201">
        <f>SUM(I8*$K$2)</f>
        <v>28853.689037098793</v>
      </c>
      <c r="L8" s="198">
        <f t="shared" si="4"/>
        <v>2664.95877912093</v>
      </c>
      <c r="M8" s="64">
        <f t="shared" si="5"/>
        <v>2003.7284053540827</v>
      </c>
      <c r="N8" s="201">
        <f t="shared" si="6"/>
        <v>2404.4740864248993</v>
      </c>
    </row>
    <row r="9" spans="1:62" ht="48" customHeight="1" thickBot="1">
      <c r="A9" s="227" t="s">
        <v>55</v>
      </c>
      <c r="B9" s="228">
        <f>SUM(B3:B8)</f>
        <v>108</v>
      </c>
      <c r="C9" s="228">
        <f>SUM(C3:C8)</f>
        <v>682</v>
      </c>
      <c r="D9" s="228">
        <f>SUM(D3:D8)</f>
        <v>20</v>
      </c>
      <c r="E9" s="229">
        <f>SUM(E3:E8)/1</f>
        <v>810</v>
      </c>
      <c r="F9" s="257">
        <f>SUM(F3:F8)</f>
        <v>849.6400000000001</v>
      </c>
      <c r="G9" s="221"/>
      <c r="H9" s="214">
        <f>SUM(H3:H8)</f>
        <v>21660</v>
      </c>
      <c r="I9" s="233">
        <f t="shared" si="2"/>
        <v>25493.150040016946</v>
      </c>
      <c r="J9" s="209">
        <f>SUM(I9*$J$2)</f>
        <v>33905.88955322254</v>
      </c>
      <c r="K9" s="210">
        <f>SUM(I9*$K$2)</f>
        <v>30591.780048020333</v>
      </c>
      <c r="L9" s="234">
        <f>SUM(L3:L8)/5</f>
        <v>2764.5322026720128</v>
      </c>
      <c r="M9" s="235">
        <f>SUM(M3:M8)/6</f>
        <v>2126.8730015759083</v>
      </c>
      <c r="N9" s="236">
        <f>SUM(N3:N8)/1</f>
        <v>2404.4740864248993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</row>
    <row r="10" spans="6:11" ht="15">
      <c r="F10" s="258"/>
      <c r="G10" s="58"/>
      <c r="H10" s="52"/>
      <c r="J10" s="194" t="s">
        <v>29</v>
      </c>
      <c r="K10" s="194" t="s">
        <v>24</v>
      </c>
    </row>
    <row r="11" spans="1:11" ht="15">
      <c r="A11" s="5"/>
      <c r="B11" s="48"/>
      <c r="F11" s="259"/>
      <c r="G11" s="59"/>
      <c r="J11" s="62"/>
      <c r="K11" s="63"/>
    </row>
    <row r="12" spans="5:11" ht="12.75">
      <c r="E12" s="224"/>
      <c r="K12" s="60"/>
    </row>
    <row r="13" ht="12.75">
      <c r="K13" s="61"/>
    </row>
    <row r="14" ht="12.75">
      <c r="K14" s="61"/>
    </row>
    <row r="15" ht="12.75">
      <c r="K15" s="61"/>
    </row>
    <row r="16" ht="12.75">
      <c r="K16" s="61"/>
    </row>
    <row r="17" ht="12.75">
      <c r="K17" s="54"/>
    </row>
    <row r="18" ht="12.75">
      <c r="K18" s="54"/>
    </row>
    <row r="19" ht="12.75">
      <c r="K19" s="54"/>
    </row>
  </sheetData>
  <mergeCells count="1">
    <mergeCell ref="L2:N2"/>
  </mergeCells>
  <printOptions gridLines="1"/>
  <pageMargins left="0.15748031496062992" right="0.7480314960629921" top="0.3937007874015748" bottom="0.3937007874015748" header="0.5118110236220472" footer="0.5118110236220472"/>
  <pageSetup fitToHeight="1" fitToWidth="1" horizontalDpi="360" verticalDpi="360" orientation="landscape" paperSize="8" scale="70" r:id="rId1"/>
  <headerFooter alignWithMargins="0">
    <oddHeader>&amp;C2009.a kohamaks veebruaris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workbookViewId="0" topLeftCell="A1">
      <pane xSplit="1" ySplit="3" topLeftCell="T4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F15" sqref="AF15"/>
    </sheetView>
  </sheetViews>
  <sheetFormatPr defaultColWidth="9.140625" defaultRowHeight="12.75"/>
  <cols>
    <col min="1" max="1" width="11.421875" style="22" customWidth="1"/>
    <col min="2" max="2" width="10.421875" style="38" customWidth="1"/>
    <col min="3" max="3" width="9.8515625" style="21" customWidth="1"/>
    <col min="4" max="4" width="7.7109375" style="2" customWidth="1"/>
    <col min="5" max="5" width="7.57421875" style="2" customWidth="1"/>
    <col min="6" max="6" width="8.57421875" style="2" customWidth="1"/>
    <col min="7" max="7" width="8.421875" style="1" customWidth="1"/>
    <col min="8" max="8" width="8.00390625" style="2" customWidth="1"/>
    <col min="9" max="9" width="8.7109375" style="1" customWidth="1"/>
    <col min="10" max="10" width="9.28125" style="1" customWidth="1"/>
    <col min="11" max="11" width="8.140625" style="1" customWidth="1"/>
    <col min="12" max="12" width="8.00390625" style="1" customWidth="1"/>
    <col min="13" max="13" width="7.57421875" style="1" customWidth="1"/>
    <col min="14" max="15" width="8.00390625" style="1" customWidth="1"/>
    <col min="16" max="16" width="7.7109375" style="1" customWidth="1"/>
    <col min="17" max="17" width="8.8515625" style="1" customWidth="1"/>
    <col min="18" max="18" width="9.28125" style="2" customWidth="1"/>
    <col min="19" max="19" width="8.8515625" style="1" customWidth="1"/>
    <col min="20" max="20" width="8.00390625" style="1" customWidth="1"/>
    <col min="21" max="21" width="12.421875" style="1" bestFit="1" customWidth="1"/>
    <col min="22" max="23" width="12.140625" style="23" customWidth="1"/>
    <col min="24" max="24" width="11.57421875" style="1" customWidth="1"/>
    <col min="25" max="25" width="11.28125" style="1" customWidth="1"/>
    <col min="26" max="26" width="11.140625" style="1" customWidth="1"/>
    <col min="27" max="27" width="12.140625" style="34" customWidth="1"/>
    <col min="28" max="28" width="12.7109375" style="1" customWidth="1"/>
    <col min="29" max="29" width="11.57421875" style="95" customWidth="1"/>
    <col min="30" max="30" width="14.28125" style="1" customWidth="1"/>
    <col min="31" max="16384" width="9.140625" style="1" customWidth="1"/>
  </cols>
  <sheetData>
    <row r="1" spans="1:28" ht="48" customHeight="1" thickBot="1">
      <c r="A1" s="93" t="s">
        <v>28</v>
      </c>
      <c r="D1" s="2" t="s">
        <v>50</v>
      </c>
      <c r="E1" s="2" t="s">
        <v>50</v>
      </c>
      <c r="F1" s="2" t="s">
        <v>50</v>
      </c>
      <c r="G1" s="2" t="s">
        <v>51</v>
      </c>
      <c r="H1" s="2" t="s">
        <v>52</v>
      </c>
      <c r="I1" s="2" t="s">
        <v>23</v>
      </c>
      <c r="J1" s="2" t="s">
        <v>23</v>
      </c>
      <c r="K1" s="2" t="s">
        <v>23</v>
      </c>
      <c r="L1" s="2" t="s">
        <v>23</v>
      </c>
      <c r="M1" s="1" t="s">
        <v>47</v>
      </c>
      <c r="N1" s="1" t="s">
        <v>45</v>
      </c>
      <c r="O1" s="1" t="s">
        <v>44</v>
      </c>
      <c r="P1" s="1" t="s">
        <v>42</v>
      </c>
      <c r="Q1" s="1" t="s">
        <v>41</v>
      </c>
      <c r="R1" s="2" t="s">
        <v>40</v>
      </c>
      <c r="S1" s="1" t="s">
        <v>37</v>
      </c>
      <c r="T1" s="1" t="s">
        <v>36</v>
      </c>
      <c r="X1" s="275" t="s">
        <v>85</v>
      </c>
      <c r="Y1" s="276"/>
      <c r="Z1" s="276"/>
      <c r="AA1" s="277"/>
      <c r="AB1" s="92" t="s">
        <v>56</v>
      </c>
    </row>
    <row r="2" spans="1:30" s="8" customFormat="1" ht="104.25" customHeight="1">
      <c r="A2" s="143" t="s">
        <v>3</v>
      </c>
      <c r="B2" s="144" t="s">
        <v>13</v>
      </c>
      <c r="C2" s="145" t="s">
        <v>49</v>
      </c>
      <c r="D2" s="146" t="s">
        <v>27</v>
      </c>
      <c r="E2" s="146" t="s">
        <v>32</v>
      </c>
      <c r="F2" s="146" t="s">
        <v>20</v>
      </c>
      <c r="G2" s="146" t="s">
        <v>33</v>
      </c>
      <c r="H2" s="146" t="s">
        <v>34</v>
      </c>
      <c r="I2" s="147" t="s">
        <v>1</v>
      </c>
      <c r="J2" s="147" t="s">
        <v>6</v>
      </c>
      <c r="K2" s="147" t="s">
        <v>2</v>
      </c>
      <c r="L2" s="146" t="s">
        <v>48</v>
      </c>
      <c r="M2" s="146" t="s">
        <v>74</v>
      </c>
      <c r="N2" s="147" t="s">
        <v>46</v>
      </c>
      <c r="O2" s="146" t="s">
        <v>43</v>
      </c>
      <c r="P2" s="146" t="s">
        <v>73</v>
      </c>
      <c r="Q2" s="146" t="s">
        <v>72</v>
      </c>
      <c r="R2" s="146" t="s">
        <v>39</v>
      </c>
      <c r="S2" s="146" t="s">
        <v>38</v>
      </c>
      <c r="T2" s="146" t="s">
        <v>35</v>
      </c>
      <c r="U2" s="155" t="s">
        <v>80</v>
      </c>
      <c r="V2" s="231" t="s">
        <v>94</v>
      </c>
      <c r="W2" s="153" t="s">
        <v>81</v>
      </c>
      <c r="X2" s="128" t="s">
        <v>3</v>
      </c>
      <c r="Y2" s="129" t="s">
        <v>18</v>
      </c>
      <c r="Z2" s="130" t="s">
        <v>19</v>
      </c>
      <c r="AA2" s="122" t="s">
        <v>0</v>
      </c>
      <c r="AB2" s="133" t="s">
        <v>71</v>
      </c>
      <c r="AC2" s="137" t="s">
        <v>57</v>
      </c>
      <c r="AD2" s="140" t="s">
        <v>58</v>
      </c>
    </row>
    <row r="3" spans="1:30" s="2" customFormat="1" ht="15">
      <c r="A3" s="11" t="s">
        <v>26</v>
      </c>
      <c r="B3" s="183">
        <v>6</v>
      </c>
      <c r="C3" s="184">
        <f>SUM('laste arv'!E3)</f>
        <v>132</v>
      </c>
      <c r="D3" s="31">
        <v>28</v>
      </c>
      <c r="E3" s="31">
        <v>14</v>
      </c>
      <c r="F3" s="31">
        <v>1</v>
      </c>
      <c r="G3" s="31">
        <v>1</v>
      </c>
      <c r="H3" s="192">
        <v>15</v>
      </c>
      <c r="I3" s="31">
        <v>275</v>
      </c>
      <c r="J3" s="31">
        <v>120</v>
      </c>
      <c r="K3" s="31">
        <v>20</v>
      </c>
      <c r="L3" s="31">
        <f>84+7</f>
        <v>91</v>
      </c>
      <c r="M3" s="31">
        <v>11</v>
      </c>
      <c r="N3" s="31">
        <v>5</v>
      </c>
      <c r="O3" s="31">
        <v>2</v>
      </c>
      <c r="P3" s="31">
        <v>21</v>
      </c>
      <c r="Q3" s="31">
        <v>127</v>
      </c>
      <c r="R3" s="31">
        <v>4</v>
      </c>
      <c r="S3" s="185">
        <v>17</v>
      </c>
      <c r="T3" s="186">
        <v>1</v>
      </c>
      <c r="U3" s="156">
        <f aca="true" t="shared" si="0" ref="U3:U8">SUM(D3:T3)</f>
        <v>753</v>
      </c>
      <c r="V3" s="157">
        <f aca="true" t="shared" si="1" ref="V3:V8">SUM(U3/C3)*1000</f>
        <v>5704.545454545454</v>
      </c>
      <c r="W3" s="148">
        <f>SUM(V3)/12</f>
        <v>475.3787878787878</v>
      </c>
      <c r="X3" s="123" t="s">
        <v>26</v>
      </c>
      <c r="Y3" s="124">
        <f>SUM('person kulud'!H3)</f>
        <v>3531</v>
      </c>
      <c r="Z3" s="131">
        <f>SUM(U3)</f>
        <v>753</v>
      </c>
      <c r="AA3" s="125">
        <f>SUM(Y3+Z3)</f>
        <v>4284</v>
      </c>
      <c r="AB3" s="134">
        <v>508.2</v>
      </c>
      <c r="AC3" s="138">
        <f>SUM(AB3/Z3)</f>
        <v>0.6749003984063745</v>
      </c>
      <c r="AD3" s="141">
        <f aca="true" t="shared" si="2" ref="AD3:AD8">SUM(W3)-(W3*AC3)</f>
        <v>154.5454545454545</v>
      </c>
    </row>
    <row r="4" spans="1:30" s="2" customFormat="1" ht="15">
      <c r="A4" s="11" t="s">
        <v>22</v>
      </c>
      <c r="B4" s="183">
        <v>6</v>
      </c>
      <c r="C4" s="184">
        <f>SUM('laste arv'!E4)</f>
        <v>136</v>
      </c>
      <c r="D4" s="31">
        <v>22</v>
      </c>
      <c r="E4" s="31">
        <v>8</v>
      </c>
      <c r="F4" s="31">
        <v>1</v>
      </c>
      <c r="G4" s="31">
        <v>2</v>
      </c>
      <c r="H4" s="192">
        <v>12</v>
      </c>
      <c r="I4" s="31">
        <v>300</v>
      </c>
      <c r="J4" s="31">
        <v>120</v>
      </c>
      <c r="K4" s="31">
        <v>20</v>
      </c>
      <c r="L4" s="31">
        <f>120-30</f>
        <v>90</v>
      </c>
      <c r="M4" s="31">
        <v>10</v>
      </c>
      <c r="N4" s="31">
        <v>2</v>
      </c>
      <c r="O4" s="31">
        <v>34</v>
      </c>
      <c r="P4" s="31">
        <v>25</v>
      </c>
      <c r="Q4" s="31">
        <v>131</v>
      </c>
      <c r="R4" s="31">
        <v>10</v>
      </c>
      <c r="S4" s="185">
        <v>1</v>
      </c>
      <c r="T4" s="186">
        <v>1</v>
      </c>
      <c r="U4" s="156">
        <f t="shared" si="0"/>
        <v>789</v>
      </c>
      <c r="V4" s="157">
        <f t="shared" si="1"/>
        <v>5801.470588235295</v>
      </c>
      <c r="W4" s="148">
        <f aca="true" t="shared" si="3" ref="W4:W9">SUM(V4)/12</f>
        <v>483.4558823529412</v>
      </c>
      <c r="X4" s="123" t="s">
        <v>22</v>
      </c>
      <c r="Y4" s="124">
        <f>SUM('person kulud'!H4)</f>
        <v>3865</v>
      </c>
      <c r="Z4" s="131">
        <f aca="true" t="shared" si="4" ref="Z4:Z9">SUM(U4)</f>
        <v>789</v>
      </c>
      <c r="AA4" s="125">
        <f aca="true" t="shared" si="5" ref="AA4:AA9">SUM(Y4+Z4)</f>
        <v>4654</v>
      </c>
      <c r="AB4" s="134">
        <v>523.6</v>
      </c>
      <c r="AC4" s="138">
        <f aca="true" t="shared" si="6" ref="AC4:AC9">SUM(AB4/Z4)</f>
        <v>0.6636248415716096</v>
      </c>
      <c r="AD4" s="141">
        <f t="shared" si="2"/>
        <v>162.62254901960785</v>
      </c>
    </row>
    <row r="5" spans="1:30" s="2" customFormat="1" ht="15">
      <c r="A5" s="11" t="s">
        <v>7</v>
      </c>
      <c r="B5" s="183">
        <v>6</v>
      </c>
      <c r="C5" s="184">
        <f>SUM('laste arv'!E5)</f>
        <v>138</v>
      </c>
      <c r="D5" s="31">
        <v>17</v>
      </c>
      <c r="E5" s="31">
        <v>10</v>
      </c>
      <c r="F5" s="31">
        <v>1</v>
      </c>
      <c r="G5" s="31">
        <v>0</v>
      </c>
      <c r="H5" s="192">
        <v>10</v>
      </c>
      <c r="I5" s="31">
        <v>252</v>
      </c>
      <c r="J5" s="31">
        <v>50</v>
      </c>
      <c r="K5" s="31">
        <v>27</v>
      </c>
      <c r="L5" s="31">
        <v>122</v>
      </c>
      <c r="M5" s="31">
        <v>0</v>
      </c>
      <c r="N5" s="31">
        <v>9</v>
      </c>
      <c r="O5" s="31">
        <v>38</v>
      </c>
      <c r="P5" s="31">
        <v>10</v>
      </c>
      <c r="Q5" s="31">
        <v>132</v>
      </c>
      <c r="R5" s="31">
        <v>4</v>
      </c>
      <c r="S5" s="31">
        <v>0</v>
      </c>
      <c r="T5" s="187">
        <v>0</v>
      </c>
      <c r="U5" s="156">
        <f t="shared" si="0"/>
        <v>682</v>
      </c>
      <c r="V5" s="157">
        <f t="shared" si="1"/>
        <v>4942.028985507246</v>
      </c>
      <c r="W5" s="148">
        <f t="shared" si="3"/>
        <v>411.8357487922705</v>
      </c>
      <c r="X5" s="123" t="s">
        <v>7</v>
      </c>
      <c r="Y5" s="124">
        <f>SUM('person kulud'!H5)</f>
        <v>3591</v>
      </c>
      <c r="Z5" s="131">
        <f t="shared" si="4"/>
        <v>682</v>
      </c>
      <c r="AA5" s="125">
        <f t="shared" si="5"/>
        <v>4273</v>
      </c>
      <c r="AB5" s="134">
        <v>531.3</v>
      </c>
      <c r="AC5" s="138">
        <f t="shared" si="6"/>
        <v>0.779032258064516</v>
      </c>
      <c r="AD5" s="141">
        <f t="shared" si="2"/>
        <v>91.00241545893721</v>
      </c>
    </row>
    <row r="6" spans="1:30" s="2" customFormat="1" ht="15">
      <c r="A6" s="11" t="s">
        <v>8</v>
      </c>
      <c r="B6" s="183">
        <v>6</v>
      </c>
      <c r="C6" s="184">
        <f>SUM('laste arv'!E6)</f>
        <v>138</v>
      </c>
      <c r="D6" s="31">
        <v>10</v>
      </c>
      <c r="E6" s="31">
        <v>8</v>
      </c>
      <c r="F6" s="31">
        <v>1</v>
      </c>
      <c r="G6" s="31">
        <v>3</v>
      </c>
      <c r="H6" s="192">
        <v>10</v>
      </c>
      <c r="I6" s="31">
        <v>206</v>
      </c>
      <c r="J6" s="31">
        <v>29</v>
      </c>
      <c r="K6" s="31">
        <v>24</v>
      </c>
      <c r="L6" s="31">
        <v>112</v>
      </c>
      <c r="M6" s="31">
        <v>4</v>
      </c>
      <c r="N6" s="31">
        <v>3</v>
      </c>
      <c r="O6" s="31">
        <v>52</v>
      </c>
      <c r="P6" s="31">
        <v>13</v>
      </c>
      <c r="Q6" s="31">
        <v>132</v>
      </c>
      <c r="R6" s="31">
        <v>4</v>
      </c>
      <c r="S6" s="31">
        <v>1</v>
      </c>
      <c r="T6" s="187"/>
      <c r="U6" s="156">
        <f t="shared" si="0"/>
        <v>612</v>
      </c>
      <c r="V6" s="157">
        <f t="shared" si="1"/>
        <v>4434.782608695652</v>
      </c>
      <c r="W6" s="148">
        <f t="shared" si="3"/>
        <v>369.5652173913043</v>
      </c>
      <c r="X6" s="123" t="s">
        <v>8</v>
      </c>
      <c r="Y6" s="124">
        <f>SUM('person kulud'!H6)</f>
        <v>3646</v>
      </c>
      <c r="Z6" s="131">
        <f t="shared" si="4"/>
        <v>612</v>
      </c>
      <c r="AA6" s="125">
        <f t="shared" si="5"/>
        <v>4258</v>
      </c>
      <c r="AB6" s="134">
        <v>531.3</v>
      </c>
      <c r="AC6" s="138">
        <f t="shared" si="6"/>
        <v>0.8681372549019607</v>
      </c>
      <c r="AD6" s="141">
        <f t="shared" si="2"/>
        <v>48.73188405797106</v>
      </c>
    </row>
    <row r="7" spans="1:30" s="2" customFormat="1" ht="15">
      <c r="A7" s="11" t="s">
        <v>9</v>
      </c>
      <c r="B7" s="183">
        <v>6</v>
      </c>
      <c r="C7" s="184">
        <f>SUM('laste arv'!E7)</f>
        <v>132</v>
      </c>
      <c r="D7" s="31">
        <v>22</v>
      </c>
      <c r="E7" s="31">
        <v>8</v>
      </c>
      <c r="F7" s="31">
        <v>1</v>
      </c>
      <c r="G7" s="31">
        <v>1</v>
      </c>
      <c r="H7" s="192">
        <v>10</v>
      </c>
      <c r="I7" s="31">
        <v>241</v>
      </c>
      <c r="J7" s="31">
        <v>70</v>
      </c>
      <c r="K7" s="31">
        <v>30</v>
      </c>
      <c r="L7" s="31">
        <v>105</v>
      </c>
      <c r="M7" s="31">
        <v>2</v>
      </c>
      <c r="N7" s="31">
        <v>4</v>
      </c>
      <c r="O7" s="31">
        <v>40</v>
      </c>
      <c r="P7" s="31">
        <v>10</v>
      </c>
      <c r="Q7" s="31">
        <v>127</v>
      </c>
      <c r="R7" s="31">
        <v>3</v>
      </c>
      <c r="S7" s="185">
        <v>4</v>
      </c>
      <c r="T7" s="186">
        <v>1</v>
      </c>
      <c r="U7" s="156">
        <f t="shared" si="0"/>
        <v>679</v>
      </c>
      <c r="V7" s="157">
        <f t="shared" si="1"/>
        <v>5143.939393939394</v>
      </c>
      <c r="W7" s="148">
        <f t="shared" si="3"/>
        <v>428.66161616161617</v>
      </c>
      <c r="X7" s="123" t="s">
        <v>9</v>
      </c>
      <c r="Y7" s="124">
        <f>SUM('person kulud'!H7)</f>
        <v>3566</v>
      </c>
      <c r="Z7" s="131">
        <f t="shared" si="4"/>
        <v>679</v>
      </c>
      <c r="AA7" s="125">
        <f t="shared" si="5"/>
        <v>4245</v>
      </c>
      <c r="AB7" s="134">
        <v>508.2</v>
      </c>
      <c r="AC7" s="138">
        <f t="shared" si="6"/>
        <v>0.7484536082474227</v>
      </c>
      <c r="AD7" s="141">
        <f t="shared" si="2"/>
        <v>107.82828282828285</v>
      </c>
    </row>
    <row r="8" spans="1:30" s="70" customFormat="1" ht="15">
      <c r="A8" s="11" t="s">
        <v>10</v>
      </c>
      <c r="B8" s="183">
        <v>6</v>
      </c>
      <c r="C8" s="184">
        <f>SUM('laste arv'!E8)</f>
        <v>134</v>
      </c>
      <c r="D8" s="31">
        <v>13</v>
      </c>
      <c r="E8" s="31">
        <v>10</v>
      </c>
      <c r="F8" s="31">
        <v>1</v>
      </c>
      <c r="G8" s="31">
        <v>2</v>
      </c>
      <c r="H8" s="192">
        <v>12</v>
      </c>
      <c r="I8" s="31">
        <v>193</v>
      </c>
      <c r="J8" s="31">
        <v>45</v>
      </c>
      <c r="K8" s="31">
        <v>24</v>
      </c>
      <c r="L8" s="31">
        <f>86+4</f>
        <v>90</v>
      </c>
      <c r="M8" s="31">
        <v>5</v>
      </c>
      <c r="N8" s="31">
        <v>9</v>
      </c>
      <c r="O8" s="31">
        <v>46</v>
      </c>
      <c r="P8" s="31">
        <v>11</v>
      </c>
      <c r="Q8" s="31">
        <v>129</v>
      </c>
      <c r="R8" s="31">
        <v>3</v>
      </c>
      <c r="S8" s="185">
        <v>2</v>
      </c>
      <c r="T8" s="186">
        <v>10</v>
      </c>
      <c r="U8" s="158">
        <f t="shared" si="0"/>
        <v>605</v>
      </c>
      <c r="V8" s="159">
        <f t="shared" si="1"/>
        <v>4514.925373134329</v>
      </c>
      <c r="W8" s="148">
        <f t="shared" si="3"/>
        <v>376.2437810945274</v>
      </c>
      <c r="X8" s="126" t="s">
        <v>10</v>
      </c>
      <c r="Y8" s="124">
        <f>SUM('person kulud'!H8)</f>
        <v>3461</v>
      </c>
      <c r="Z8" s="132">
        <f t="shared" si="4"/>
        <v>605</v>
      </c>
      <c r="AA8" s="127">
        <f t="shared" si="5"/>
        <v>4066</v>
      </c>
      <c r="AB8" s="135">
        <v>515.9</v>
      </c>
      <c r="AC8" s="138">
        <f t="shared" si="6"/>
        <v>0.8527272727272727</v>
      </c>
      <c r="AD8" s="141">
        <f t="shared" si="2"/>
        <v>55.410447761194064</v>
      </c>
    </row>
    <row r="9" spans="1:30" s="22" customFormat="1" ht="28.5" customHeight="1" thickBot="1">
      <c r="A9" s="149" t="s">
        <v>101</v>
      </c>
      <c r="B9" s="150">
        <f>SUM(B3:B8)</f>
        <v>36</v>
      </c>
      <c r="C9" s="151">
        <f>SUM(C3:C8)</f>
        <v>810</v>
      </c>
      <c r="D9" s="152">
        <f>SUM(D3:D8)</f>
        <v>112</v>
      </c>
      <c r="E9" s="152">
        <f>SUM(E3:E8)/1</f>
        <v>58</v>
      </c>
      <c r="F9" s="152">
        <f aca="true" t="shared" si="7" ref="F9:T9">SUM(F3:F8)</f>
        <v>6</v>
      </c>
      <c r="G9" s="152">
        <f t="shared" si="7"/>
        <v>9</v>
      </c>
      <c r="H9" s="152">
        <f t="shared" si="7"/>
        <v>69</v>
      </c>
      <c r="I9" s="152">
        <f t="shared" si="7"/>
        <v>1467</v>
      </c>
      <c r="J9" s="152">
        <f t="shared" si="7"/>
        <v>434</v>
      </c>
      <c r="K9" s="152">
        <f t="shared" si="7"/>
        <v>145</v>
      </c>
      <c r="L9" s="152">
        <f t="shared" si="7"/>
        <v>610</v>
      </c>
      <c r="M9" s="152">
        <f t="shared" si="7"/>
        <v>32</v>
      </c>
      <c r="N9" s="152">
        <f t="shared" si="7"/>
        <v>32</v>
      </c>
      <c r="O9" s="152">
        <f t="shared" si="7"/>
        <v>212</v>
      </c>
      <c r="P9" s="152">
        <f t="shared" si="7"/>
        <v>90</v>
      </c>
      <c r="Q9" s="152">
        <f t="shared" si="7"/>
        <v>778</v>
      </c>
      <c r="R9" s="152">
        <f t="shared" si="7"/>
        <v>28</v>
      </c>
      <c r="S9" s="152">
        <f t="shared" si="7"/>
        <v>25</v>
      </c>
      <c r="T9" s="152">
        <f t="shared" si="7"/>
        <v>13</v>
      </c>
      <c r="U9" s="160">
        <f>SUM(U3:U8)</f>
        <v>4120</v>
      </c>
      <c r="V9" s="232">
        <f>SUM(V3:V8)/6</f>
        <v>5090.282067342895</v>
      </c>
      <c r="W9" s="154">
        <f t="shared" si="3"/>
        <v>424.1901722785746</v>
      </c>
      <c r="X9" s="96" t="s">
        <v>11</v>
      </c>
      <c r="Y9" s="97">
        <f>SUM(Y3:Y8)</f>
        <v>21660</v>
      </c>
      <c r="Z9" s="121">
        <f t="shared" si="4"/>
        <v>4120</v>
      </c>
      <c r="AA9" s="98">
        <f t="shared" si="5"/>
        <v>25780</v>
      </c>
      <c r="AB9" s="136">
        <f>SUM(AB3:AB8)</f>
        <v>3118.4999999999995</v>
      </c>
      <c r="AC9" s="139">
        <f t="shared" si="6"/>
        <v>0.7569174757281553</v>
      </c>
      <c r="AD9" s="142">
        <f>SUM(AD3:AD8)</f>
        <v>620.1410336714475</v>
      </c>
    </row>
    <row r="10" spans="1:30" s="79" customFormat="1" ht="29.25" customHeight="1">
      <c r="A10" s="75" t="s">
        <v>54</v>
      </c>
      <c r="B10" s="76"/>
      <c r="C10" s="77">
        <f>SUM(C9)/7</f>
        <v>115.71428571428571</v>
      </c>
      <c r="D10" s="77">
        <f aca="true" t="shared" si="8" ref="D10:T10">SUM(D9)/7</f>
        <v>16</v>
      </c>
      <c r="E10" s="77">
        <f t="shared" si="8"/>
        <v>8.285714285714286</v>
      </c>
      <c r="F10" s="77">
        <f t="shared" si="8"/>
        <v>0.8571428571428571</v>
      </c>
      <c r="G10" s="77">
        <f t="shared" si="8"/>
        <v>1.2857142857142858</v>
      </c>
      <c r="H10" s="77">
        <f t="shared" si="8"/>
        <v>9.857142857142858</v>
      </c>
      <c r="I10" s="77">
        <f t="shared" si="8"/>
        <v>209.57142857142858</v>
      </c>
      <c r="J10" s="77">
        <f t="shared" si="8"/>
        <v>62</v>
      </c>
      <c r="K10" s="77">
        <f t="shared" si="8"/>
        <v>20.714285714285715</v>
      </c>
      <c r="L10" s="77">
        <f t="shared" si="8"/>
        <v>87.14285714285714</v>
      </c>
      <c r="M10" s="77">
        <f t="shared" si="8"/>
        <v>4.571428571428571</v>
      </c>
      <c r="N10" s="77">
        <f t="shared" si="8"/>
        <v>4.571428571428571</v>
      </c>
      <c r="O10" s="77">
        <f t="shared" si="8"/>
        <v>30.285714285714285</v>
      </c>
      <c r="P10" s="77">
        <f t="shared" si="8"/>
        <v>12.857142857142858</v>
      </c>
      <c r="Q10" s="77">
        <f t="shared" si="8"/>
        <v>111.14285714285714</v>
      </c>
      <c r="R10" s="77">
        <f t="shared" si="8"/>
        <v>4</v>
      </c>
      <c r="S10" s="77">
        <f t="shared" si="8"/>
        <v>3.5714285714285716</v>
      </c>
      <c r="T10" s="77">
        <f t="shared" si="8"/>
        <v>1.8571428571428572</v>
      </c>
      <c r="U10" s="163">
        <f>SUM(U9)/6</f>
        <v>686.6666666666666</v>
      </c>
      <c r="V10" s="78"/>
      <c r="W10" s="78"/>
      <c r="Z10" s="81"/>
      <c r="AA10" s="80"/>
      <c r="AB10" s="161">
        <f>SUM(AB9)/6</f>
        <v>519.7499999999999</v>
      </c>
      <c r="AC10" s="95"/>
      <c r="AD10" s="253">
        <f>SUM(AD9)/6</f>
        <v>103.35683894524125</v>
      </c>
    </row>
    <row r="11" spans="1:30" ht="51">
      <c r="A11" s="14"/>
      <c r="B11" s="39"/>
      <c r="I11" s="24"/>
      <c r="J11" s="24"/>
      <c r="K11" s="24"/>
      <c r="L11" s="24"/>
      <c r="M11" s="24"/>
      <c r="N11" s="24"/>
      <c r="O11" s="24"/>
      <c r="P11" s="24"/>
      <c r="Q11" s="24"/>
      <c r="U11" s="164" t="s">
        <v>75</v>
      </c>
      <c r="V11" s="55"/>
      <c r="W11" s="55"/>
      <c r="Z11" s="82"/>
      <c r="AA11" s="43"/>
      <c r="AB11" s="162" t="s">
        <v>76</v>
      </c>
      <c r="AD11" s="193" t="s">
        <v>102</v>
      </c>
    </row>
    <row r="12" spans="1:28" ht="14.25">
      <c r="A12" s="19"/>
      <c r="B12" s="40"/>
      <c r="C12" s="71"/>
      <c r="E12" s="53"/>
      <c r="G12" s="2"/>
      <c r="H12" s="56"/>
      <c r="I12" s="57"/>
      <c r="J12" s="57"/>
      <c r="K12" s="57"/>
      <c r="L12" s="57"/>
      <c r="M12" s="57"/>
      <c r="N12" s="57"/>
      <c r="O12" s="57"/>
      <c r="P12" s="57"/>
      <c r="Q12" s="57"/>
      <c r="R12" s="42"/>
      <c r="U12" s="35"/>
      <c r="Z12" s="41"/>
      <c r="AA12" s="43"/>
      <c r="AB12" s="167" t="s">
        <v>77</v>
      </c>
    </row>
    <row r="13" spans="1:27" ht="19.5">
      <c r="A13" s="14"/>
      <c r="B13" s="39"/>
      <c r="C13" s="71"/>
      <c r="E13" s="53"/>
      <c r="G13" s="2"/>
      <c r="I13" s="2"/>
      <c r="J13" s="2"/>
      <c r="K13" s="68"/>
      <c r="L13" s="37"/>
      <c r="M13" s="37"/>
      <c r="N13" s="37"/>
      <c r="O13" s="37"/>
      <c r="P13" s="37"/>
      <c r="Q13" s="37"/>
      <c r="U13" s="36"/>
      <c r="Z13" s="56"/>
      <c r="AA13" s="83"/>
    </row>
    <row r="14" spans="3:27" ht="14.25">
      <c r="C14" s="71"/>
      <c r="D14" s="22"/>
      <c r="E14" s="72"/>
      <c r="G14" s="2"/>
      <c r="I14" s="2"/>
      <c r="J14" s="2"/>
      <c r="K14" s="73"/>
      <c r="L14" s="50"/>
      <c r="M14" s="50"/>
      <c r="N14" s="50"/>
      <c r="O14" s="50"/>
      <c r="P14" s="50"/>
      <c r="Q14" s="50"/>
      <c r="Z14" s="2"/>
      <c r="AA14" s="22"/>
    </row>
    <row r="15" spans="3:11" ht="14.25">
      <c r="C15" s="71"/>
      <c r="G15" s="2"/>
      <c r="H15" s="74"/>
      <c r="I15" s="53"/>
      <c r="J15" s="2"/>
      <c r="K15" s="2"/>
    </row>
    <row r="16" spans="3:11" ht="14.25">
      <c r="C16" s="71"/>
      <c r="G16" s="2"/>
      <c r="H16" s="69"/>
      <c r="I16" s="72"/>
      <c r="J16" s="2"/>
      <c r="K16" s="2"/>
    </row>
    <row r="17" spans="3:11" ht="14.25">
      <c r="C17" s="71"/>
      <c r="G17" s="2"/>
      <c r="I17" s="2"/>
      <c r="J17" s="2"/>
      <c r="K17" s="2"/>
    </row>
    <row r="18" spans="3:11" ht="14.25">
      <c r="C18" s="71"/>
      <c r="G18" s="2"/>
      <c r="I18" s="2"/>
      <c r="J18" s="2"/>
      <c r="K18" s="2"/>
    </row>
    <row r="19" spans="3:24" ht="14.25">
      <c r="C19" s="71"/>
      <c r="G19" s="2"/>
      <c r="I19" s="2"/>
      <c r="J19" s="2"/>
      <c r="K19" s="2"/>
      <c r="X19" s="179" t="s">
        <v>78</v>
      </c>
    </row>
    <row r="20" spans="3:28" ht="15.75" thickBot="1">
      <c r="C20" s="71"/>
      <c r="G20" s="2"/>
      <c r="I20" s="2"/>
      <c r="J20" s="2"/>
      <c r="K20" s="2"/>
      <c r="X20" s="168" t="s">
        <v>70</v>
      </c>
      <c r="Y20" s="165"/>
      <c r="Z20" s="165"/>
      <c r="AA20" s="166"/>
      <c r="AB20" s="165"/>
    </row>
    <row r="21" spans="24:28" ht="26.25">
      <c r="X21" s="178" t="s">
        <v>3</v>
      </c>
      <c r="Y21" s="129" t="s">
        <v>18</v>
      </c>
      <c r="Z21" s="130" t="s">
        <v>19</v>
      </c>
      <c r="AA21" s="177" t="s">
        <v>0</v>
      </c>
      <c r="AB21" s="180" t="s">
        <v>79</v>
      </c>
    </row>
    <row r="22" spans="24:28" ht="14.25">
      <c r="X22" s="169" t="s">
        <v>22</v>
      </c>
      <c r="Y22" s="175">
        <v>3865</v>
      </c>
      <c r="Z22" s="119">
        <v>819</v>
      </c>
      <c r="AA22" s="170">
        <f aca="true" t="shared" si="9" ref="AA22:AA28">SUM(Y22+Z22)</f>
        <v>4684</v>
      </c>
      <c r="AB22" s="181">
        <f>SUM(Y22/AA22)</f>
        <v>0.8251494449188728</v>
      </c>
    </row>
    <row r="23" spans="24:28" ht="14.25">
      <c r="X23" s="169" t="s">
        <v>26</v>
      </c>
      <c r="Y23" s="175">
        <v>3531</v>
      </c>
      <c r="Z23" s="119">
        <v>746</v>
      </c>
      <c r="AA23" s="170">
        <f>SUM(Y23+Z23)</f>
        <v>4277</v>
      </c>
      <c r="AB23" s="181">
        <f aca="true" t="shared" si="10" ref="AB23:AB28">SUM(Y23/AA23)</f>
        <v>0.8255786766425064</v>
      </c>
    </row>
    <row r="24" spans="24:28" ht="14.25">
      <c r="X24" s="169" t="s">
        <v>7</v>
      </c>
      <c r="Y24" s="175">
        <v>3591</v>
      </c>
      <c r="Z24" s="119">
        <v>682</v>
      </c>
      <c r="AA24" s="170">
        <f t="shared" si="9"/>
        <v>4273</v>
      </c>
      <c r="AB24" s="181">
        <f t="shared" si="10"/>
        <v>0.8403931663936345</v>
      </c>
    </row>
    <row r="25" spans="24:28" ht="14.25">
      <c r="X25" s="169" t="s">
        <v>9</v>
      </c>
      <c r="Y25" s="175">
        <v>3566</v>
      </c>
      <c r="Z25" s="119">
        <v>679</v>
      </c>
      <c r="AA25" s="170">
        <f t="shared" si="9"/>
        <v>4245</v>
      </c>
      <c r="AB25" s="181">
        <f t="shared" si="10"/>
        <v>0.8400471142520612</v>
      </c>
    </row>
    <row r="26" spans="24:28" ht="14.25">
      <c r="X26" s="169" t="s">
        <v>8</v>
      </c>
      <c r="Y26" s="175">
        <v>3646</v>
      </c>
      <c r="Z26" s="119">
        <v>612</v>
      </c>
      <c r="AA26" s="170">
        <f>SUM(Y26+Z26)</f>
        <v>4258</v>
      </c>
      <c r="AB26" s="181">
        <f t="shared" si="10"/>
        <v>0.8562705495537811</v>
      </c>
    </row>
    <row r="27" spans="24:28" ht="14.25">
      <c r="X27" s="171" t="s">
        <v>10</v>
      </c>
      <c r="Y27" s="176">
        <v>3461</v>
      </c>
      <c r="Z27" s="120">
        <v>601</v>
      </c>
      <c r="AA27" s="172">
        <f t="shared" si="9"/>
        <v>4062</v>
      </c>
      <c r="AB27" s="181">
        <f t="shared" si="10"/>
        <v>0.8520433284096505</v>
      </c>
    </row>
    <row r="28" spans="24:28" ht="15.75" thickBot="1">
      <c r="X28" s="173" t="s">
        <v>11</v>
      </c>
      <c r="Y28" s="97">
        <f>SUM(Y22:Y27)</f>
        <v>21660</v>
      </c>
      <c r="Z28" s="121">
        <f>SUM(Z22:Z27)</f>
        <v>4139</v>
      </c>
      <c r="AA28" s="174">
        <f t="shared" si="9"/>
        <v>25799</v>
      </c>
      <c r="AB28" s="182">
        <f t="shared" si="10"/>
        <v>0.8395674250939958</v>
      </c>
    </row>
  </sheetData>
  <mergeCells count="1">
    <mergeCell ref="X1:AA1"/>
  </mergeCells>
  <printOptions gridLines="1"/>
  <pageMargins left="0.15748031496062992" right="0.15748031496062992" top="0.984251968503937" bottom="0.984251968503937" header="0.5118110236220472" footer="0.5118110236220472"/>
  <pageSetup fitToHeight="1" fitToWidth="1" horizontalDpi="360" verticalDpi="360" orientation="landscape" paperSize="8" scale="76" r:id="rId1"/>
  <headerFooter alignWithMargins="0">
    <oddHeader>&amp;CKohamaks 2009</oddHeader>
    <oddFooter>&amp;L&amp;F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pane xSplit="1" ySplit="2" topLeftCell="B3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I22" sqref="I22"/>
    </sheetView>
  </sheetViews>
  <sheetFormatPr defaultColWidth="9.140625" defaultRowHeight="12.75"/>
  <cols>
    <col min="1" max="1" width="15.8515625" style="15" customWidth="1"/>
    <col min="2" max="2" width="8.421875" style="3" customWidth="1"/>
    <col min="3" max="3" width="10.00390625" style="3" customWidth="1"/>
    <col min="4" max="4" width="10.8515625" style="3" customWidth="1"/>
    <col min="5" max="5" width="13.00390625" style="81" customWidth="1"/>
    <col min="6" max="16384" width="9.140625" style="3" customWidth="1"/>
  </cols>
  <sheetData>
    <row r="1" spans="1:5" s="6" customFormat="1" ht="51" customHeight="1" thickBot="1">
      <c r="A1" s="104" t="s">
        <v>28</v>
      </c>
      <c r="B1" s="103" t="s">
        <v>15</v>
      </c>
      <c r="C1" s="103" t="s">
        <v>5</v>
      </c>
      <c r="D1" s="103" t="s">
        <v>12</v>
      </c>
      <c r="E1" s="215" t="s">
        <v>21</v>
      </c>
    </row>
    <row r="2" spans="1:5" ht="28.5" customHeight="1" thickBot="1">
      <c r="A2" s="16" t="s">
        <v>3</v>
      </c>
      <c r="B2" s="9"/>
      <c r="C2" s="9"/>
      <c r="D2" s="9"/>
      <c r="E2" s="216" t="s">
        <v>28</v>
      </c>
    </row>
    <row r="3" spans="1:5" ht="14.25">
      <c r="A3" s="11" t="s">
        <v>26</v>
      </c>
      <c r="B3" s="2">
        <v>36</v>
      </c>
      <c r="C3" s="2">
        <v>96</v>
      </c>
      <c r="D3" s="2"/>
      <c r="E3" s="217">
        <f aca="true" t="shared" si="0" ref="E3:E8">SUM(B3:D3)</f>
        <v>132</v>
      </c>
    </row>
    <row r="4" spans="1:5" ht="14.25">
      <c r="A4" s="11" t="s">
        <v>22</v>
      </c>
      <c r="B4" s="2"/>
      <c r="C4" s="2">
        <v>136</v>
      </c>
      <c r="D4" s="2"/>
      <c r="E4" s="217">
        <f t="shared" si="0"/>
        <v>136</v>
      </c>
    </row>
    <row r="5" spans="1:5" ht="14.25">
      <c r="A5" s="11" t="s">
        <v>7</v>
      </c>
      <c r="B5" s="2">
        <v>18</v>
      </c>
      <c r="C5" s="2">
        <v>120</v>
      </c>
      <c r="D5" s="2"/>
      <c r="E5" s="217">
        <f t="shared" si="0"/>
        <v>138</v>
      </c>
    </row>
    <row r="6" spans="1:5" ht="14.25">
      <c r="A6" s="11" t="s">
        <v>8</v>
      </c>
      <c r="B6" s="2">
        <v>18</v>
      </c>
      <c r="C6" s="2">
        <v>120</v>
      </c>
      <c r="D6" s="2"/>
      <c r="E6" s="217">
        <f t="shared" si="0"/>
        <v>138</v>
      </c>
    </row>
    <row r="7" spans="1:5" ht="14.25">
      <c r="A7" s="11" t="s">
        <v>9</v>
      </c>
      <c r="B7" s="2">
        <v>18</v>
      </c>
      <c r="C7" s="2">
        <v>114</v>
      </c>
      <c r="D7" s="2"/>
      <c r="E7" s="217">
        <f t="shared" si="0"/>
        <v>132</v>
      </c>
    </row>
    <row r="8" spans="1:5" ht="15" thickBot="1">
      <c r="A8" s="11" t="s">
        <v>10</v>
      </c>
      <c r="B8" s="2">
        <v>18</v>
      </c>
      <c r="C8" s="2">
        <v>96</v>
      </c>
      <c r="D8" s="2">
        <v>20</v>
      </c>
      <c r="E8" s="217">
        <f t="shared" si="0"/>
        <v>134</v>
      </c>
    </row>
    <row r="9" spans="1:5" s="17" customFormat="1" ht="16.5" thickBot="1">
      <c r="A9" s="44" t="s">
        <v>0</v>
      </c>
      <c r="B9" s="45">
        <f>SUM(B3:B8)</f>
        <v>108</v>
      </c>
      <c r="C9" s="45">
        <f>SUM(C3:C8)</f>
        <v>682</v>
      </c>
      <c r="D9" s="45">
        <f>SUM(D3:D8)</f>
        <v>20</v>
      </c>
      <c r="E9" s="251">
        <f>SUM(E3:E8)/1</f>
        <v>810</v>
      </c>
    </row>
    <row r="10" spans="4:5" ht="29.25" customHeight="1">
      <c r="D10" s="252" t="s">
        <v>53</v>
      </c>
      <c r="E10" s="218">
        <f>SUM(E9)/6</f>
        <v>135</v>
      </c>
    </row>
    <row r="11" spans="1:5" s="10" customFormat="1" ht="19.5" customHeight="1">
      <c r="A11" s="14"/>
      <c r="B11" s="12"/>
      <c r="E11" s="102"/>
    </row>
    <row r="12" spans="1:5" s="7" customFormat="1" ht="14.25">
      <c r="A12" s="19"/>
      <c r="B12" s="20"/>
      <c r="E12" s="218"/>
    </row>
    <row r="13" spans="1:5" ht="12.75">
      <c r="A13" s="14"/>
      <c r="B13" s="13"/>
      <c r="E13" s="102"/>
    </row>
    <row r="14" ht="12.75">
      <c r="E14" s="219"/>
    </row>
  </sheetData>
  <printOptions gridLines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&amp;C2009.a LASTE ARV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 Juhkam</cp:lastModifiedBy>
  <cp:lastPrinted>2009-09-01T09:07:46Z</cp:lastPrinted>
  <dcterms:created xsi:type="dcterms:W3CDTF">1998-08-21T04:15:25Z</dcterms:created>
  <dcterms:modified xsi:type="dcterms:W3CDTF">2009-09-28T14:54:42Z</dcterms:modified>
  <cp:category/>
  <cp:version/>
  <cp:contentType/>
  <cp:contentStatus/>
</cp:coreProperties>
</file>