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edgarkaare1/Dropbox (TajuRuum OÜ)/-1 TAJURUUM/-1 PROJEKTID/TÖÖS/17K68 Tähetorni platsi ja Pirogovi treppide ehitusprojekt/8_Tekstid/"/>
    </mc:Choice>
  </mc:AlternateContent>
  <bookViews>
    <workbookView xWindow="0" yWindow="460" windowWidth="38400" windowHeight="26660"/>
  </bookViews>
  <sheets>
    <sheet name="Koond (sh EK)" sheetId="1" r:id="rId1"/>
    <sheet name="EK_kululoend" sheetId="2" r:id="rId2"/>
    <sheet name="EK_kokkuvõte" sheetId="3" r:id="rId3"/>
  </sheets>
  <externalReferences>
    <externalReference r:id="rId4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H71" i="1"/>
  <c r="H151" i="1"/>
  <c r="H152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F5" i="2"/>
  <c r="F6" i="2"/>
  <c r="F7" i="2"/>
  <c r="D8" i="2"/>
  <c r="F8" i="2"/>
  <c r="D9" i="2"/>
  <c r="F9" i="2"/>
  <c r="D10" i="2"/>
  <c r="F10" i="2"/>
  <c r="D11" i="2"/>
  <c r="F11" i="2"/>
  <c r="F12" i="2"/>
  <c r="F13" i="2"/>
  <c r="F15" i="2"/>
  <c r="F16" i="2"/>
  <c r="F17" i="2"/>
  <c r="F18" i="2"/>
  <c r="F19" i="2"/>
  <c r="F20" i="2"/>
  <c r="D22" i="2"/>
  <c r="C5" i="3"/>
  <c r="D5" i="3"/>
  <c r="E5" i="3"/>
  <c r="E6" i="3"/>
  <c r="D50" i="2"/>
  <c r="E58" i="2"/>
  <c r="G58" i="2"/>
  <c r="E59" i="2"/>
  <c r="D55" i="2"/>
  <c r="G59" i="2"/>
  <c r="G60" i="2"/>
  <c r="D7" i="3"/>
  <c r="E7" i="3"/>
  <c r="E9" i="3"/>
  <c r="G148" i="1"/>
  <c r="H148" i="1"/>
  <c r="N14" i="2"/>
  <c r="L15" i="2"/>
  <c r="M15" i="2"/>
  <c r="N15" i="2"/>
  <c r="N16" i="2"/>
  <c r="N18" i="2"/>
  <c r="N19" i="2"/>
  <c r="N20" i="2"/>
  <c r="N21" i="2"/>
  <c r="L5" i="2"/>
  <c r="J5" i="3"/>
  <c r="K5" i="3"/>
  <c r="L5" i="3"/>
  <c r="N24" i="2"/>
  <c r="L25" i="2"/>
  <c r="M25" i="2"/>
  <c r="N25" i="2"/>
  <c r="N26" i="2"/>
  <c r="N27" i="2"/>
  <c r="N28" i="2"/>
  <c r="L29" i="2"/>
  <c r="N29" i="2"/>
  <c r="N31" i="2"/>
  <c r="N32" i="2"/>
  <c r="N33" i="2"/>
  <c r="N34" i="2"/>
  <c r="N35" i="2"/>
  <c r="L6" i="2"/>
  <c r="J6" i="3"/>
  <c r="K6" i="3"/>
  <c r="L6" i="3"/>
  <c r="N38" i="2"/>
  <c r="L39" i="2"/>
  <c r="M39" i="2"/>
  <c r="N39" i="2"/>
  <c r="N40" i="2"/>
  <c r="N41" i="2"/>
  <c r="N42" i="2"/>
  <c r="L43" i="2"/>
  <c r="N43" i="2"/>
  <c r="L44" i="2"/>
  <c r="N44" i="2"/>
  <c r="N45" i="2"/>
  <c r="N46" i="2"/>
  <c r="N47" i="2"/>
  <c r="N48" i="2"/>
  <c r="N49" i="2"/>
  <c r="N50" i="2"/>
  <c r="L7" i="2"/>
  <c r="J7" i="3"/>
  <c r="L7" i="3"/>
  <c r="N53" i="2"/>
  <c r="L54" i="2"/>
  <c r="N54" i="2"/>
  <c r="L55" i="2"/>
  <c r="M55" i="2"/>
  <c r="N55" i="2"/>
  <c r="M57" i="2"/>
  <c r="N57" i="2"/>
  <c r="N58" i="2"/>
  <c r="L8" i="2"/>
  <c r="J8" i="3"/>
  <c r="L8" i="3"/>
  <c r="M5" i="3"/>
  <c r="M6" i="3"/>
  <c r="M7" i="3"/>
  <c r="M9" i="3"/>
  <c r="L9" i="3"/>
  <c r="L11" i="3"/>
  <c r="G149" i="1"/>
  <c r="H149" i="1"/>
  <c r="H150" i="1"/>
  <c r="H153" i="1"/>
  <c r="G172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G164" i="1"/>
  <c r="H22" i="1"/>
  <c r="H23" i="1"/>
  <c r="H24" i="1"/>
  <c r="H25" i="1"/>
  <c r="H26" i="1"/>
  <c r="H27" i="1"/>
  <c r="H28" i="1"/>
  <c r="H29" i="1"/>
  <c r="H30" i="1"/>
  <c r="H31" i="1"/>
  <c r="H32" i="1"/>
  <c r="G165" i="1"/>
  <c r="H36" i="1"/>
  <c r="H37" i="1"/>
  <c r="H38" i="1"/>
  <c r="H39" i="1"/>
  <c r="H40" i="1"/>
  <c r="H43" i="1"/>
  <c r="H44" i="1"/>
  <c r="H45" i="1"/>
  <c r="H46" i="1"/>
  <c r="H47" i="1"/>
  <c r="G166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G167" i="1"/>
  <c r="H70" i="1"/>
  <c r="G168" i="1"/>
  <c r="H76" i="1"/>
  <c r="H77" i="1"/>
  <c r="G169" i="1"/>
  <c r="H81" i="1"/>
  <c r="H82" i="1"/>
  <c r="G170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G171" i="1"/>
  <c r="G173" i="1"/>
  <c r="G175" i="1"/>
  <c r="L67" i="2"/>
  <c r="L68" i="2"/>
  <c r="L69" i="2"/>
  <c r="L70" i="2"/>
  <c r="O5" i="2"/>
  <c r="F45" i="2"/>
  <c r="F46" i="2"/>
  <c r="F47" i="2"/>
  <c r="F48" i="2"/>
  <c r="F49" i="2"/>
  <c r="F50" i="2"/>
  <c r="D58" i="2"/>
  <c r="F58" i="2"/>
  <c r="L74" i="2"/>
  <c r="N74" i="2"/>
  <c r="K3" i="3"/>
  <c r="D3" i="3"/>
  <c r="N73" i="2"/>
  <c r="L75" i="2"/>
  <c r="N75" i="2"/>
  <c r="L76" i="2"/>
  <c r="N76" i="2"/>
  <c r="N77" i="2"/>
  <c r="N78" i="2"/>
  <c r="L78" i="2"/>
  <c r="N66" i="2"/>
  <c r="N67" i="2"/>
  <c r="N68" i="2"/>
  <c r="N69" i="2"/>
  <c r="N70" i="2"/>
  <c r="F52" i="2"/>
  <c r="F53" i="2"/>
  <c r="F54" i="2"/>
  <c r="F55" i="2"/>
  <c r="D59" i="2"/>
  <c r="F59" i="2"/>
  <c r="F60" i="2"/>
  <c r="D36" i="2"/>
  <c r="F36" i="2"/>
  <c r="D37" i="2"/>
  <c r="E37" i="2"/>
  <c r="F37" i="2"/>
  <c r="F25" i="2"/>
  <c r="F26" i="2"/>
  <c r="D27" i="2"/>
  <c r="F27" i="2"/>
  <c r="F29" i="2"/>
  <c r="F30" i="2"/>
  <c r="F31" i="2"/>
  <c r="F32" i="2"/>
  <c r="D38" i="2"/>
  <c r="F38" i="2"/>
  <c r="F40" i="2"/>
  <c r="F41" i="2"/>
  <c r="F22" i="2"/>
  <c r="O6" i="2"/>
  <c r="O7" i="2"/>
  <c r="O9" i="2"/>
  <c r="N8" i="2"/>
  <c r="N7" i="2"/>
  <c r="N6" i="2"/>
  <c r="N5" i="2"/>
  <c r="M3" i="2"/>
  <c r="E3" i="2"/>
  <c r="H159" i="1"/>
  <c r="G176" i="1"/>
  <c r="G177" i="1"/>
  <c r="G178" i="1"/>
  <c r="G179" i="1"/>
</calcChain>
</file>

<file path=xl/sharedStrings.xml><?xml version="1.0" encoding="utf-8"?>
<sst xmlns="http://schemas.openxmlformats.org/spreadsheetml/2006/main" count="646" uniqueCount="340">
  <si>
    <t xml:space="preserve">Proovivõtt ja katsetamine  </t>
  </si>
  <si>
    <t xml:space="preserve">kogusumma  </t>
  </si>
  <si>
    <t xml:space="preserve">Load, kindlustused  </t>
  </si>
  <si>
    <t xml:space="preserve">Infotahvlid  </t>
  </si>
  <si>
    <t xml:space="preserve">Tööpiirkonna korrashoid  </t>
  </si>
  <si>
    <t xml:space="preserve">Tööohutus  </t>
  </si>
  <si>
    <t xml:space="preserve">Keskkonnanõuded  </t>
  </si>
  <si>
    <t>Kvaliteedi ja tööprogrammi tagamise plaan</t>
  </si>
  <si>
    <t xml:space="preserve">Ajutised tööd sh töövõtja objektikontor  </t>
  </si>
  <si>
    <t xml:space="preserve">Konsultatsioonid projekteerijaga  </t>
  </si>
  <si>
    <t>kogusumma</t>
  </si>
  <si>
    <t>Muud tööd</t>
  </si>
  <si>
    <t xml:space="preserve">Ettevalmistustööd  </t>
  </si>
  <si>
    <t xml:space="preserve">Raadamine, juurimine ja tee-maa-ala puhastamine  </t>
  </si>
  <si>
    <t xml:space="preserve">tk  </t>
  </si>
  <si>
    <t xml:space="preserve">Teemaa-ala puhastamine  </t>
  </si>
  <si>
    <t xml:space="preserve">m  </t>
  </si>
  <si>
    <t>tk</t>
  </si>
  <si>
    <t xml:space="preserve">Kraavide ja nõlvade kindlustamine  </t>
  </si>
  <si>
    <t xml:space="preserve">Tardkiviäärekivid  </t>
  </si>
  <si>
    <t>Looduskivist sillutuskate (nt täringkivi)</t>
  </si>
  <si>
    <t>m</t>
  </si>
  <si>
    <t>jm</t>
  </si>
  <si>
    <t>-</t>
  </si>
  <si>
    <t xml:space="preserve">Valgustusmasti demontaaž  </t>
  </si>
  <si>
    <t xml:space="preserve">Kaabli paigaldus kinnisel meetodil  </t>
  </si>
  <si>
    <t xml:space="preserve">Kordusmaanduse rajamine, R ≤ … Ω  </t>
  </si>
  <si>
    <t xml:space="preserve">Muru kasvualuse rajamine ja külv  </t>
  </si>
  <si>
    <t xml:space="preserve">Siirdemuru kasvualuse rajamine ja paigaldamine  </t>
  </si>
  <si>
    <t xml:space="preserve">Talihoole - seisundi tase 1 </t>
  </si>
  <si>
    <t xml:space="preserve">km </t>
  </si>
  <si>
    <r>
      <t>m</t>
    </r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 xml:space="preserve">  </t>
    </r>
  </si>
  <si>
    <r>
      <t>m</t>
    </r>
    <r>
      <rPr>
        <vertAlign val="superscript"/>
        <sz val="10"/>
        <color theme="1"/>
        <rFont val="Times New Roman"/>
        <family val="1"/>
        <charset val="186"/>
      </rPr>
      <t>3</t>
    </r>
    <r>
      <rPr>
        <sz val="10"/>
        <color theme="1"/>
        <rFont val="Times New Roman"/>
        <family val="1"/>
        <charset val="186"/>
      </rPr>
      <t xml:space="preserve">  </t>
    </r>
  </si>
  <si>
    <r>
      <t>m</t>
    </r>
    <r>
      <rPr>
        <vertAlign val="superscript"/>
        <sz val="10"/>
        <color theme="1"/>
        <rFont val="Times New Roman"/>
        <family val="1"/>
        <charset val="186"/>
      </rPr>
      <t>2</t>
    </r>
  </si>
  <si>
    <t>Artikli nr</t>
  </si>
  <si>
    <t>Makseartikli nimetus</t>
  </si>
  <si>
    <t>Mõõtühik</t>
  </si>
  <si>
    <t>Parameetrid</t>
  </si>
  <si>
    <t>Maht</t>
  </si>
  <si>
    <t>Ühikhind</t>
  </si>
  <si>
    <t>Maksumus</t>
  </si>
  <si>
    <t>KULUDE LOEND Nr 1: ÜLDISED</t>
  </si>
  <si>
    <t>KULUDE LOEND NR 1: ÜLDISED</t>
  </si>
  <si>
    <t>Summa kantud kokkuvõttesse</t>
  </si>
  <si>
    <t>KULUDE LOEND: KOKKUVÕTE</t>
  </si>
  <si>
    <t>KULUDE LOEND Nr 2: EHITUSOBJEKTI ETTEVALMISTAMINE</t>
  </si>
  <si>
    <t>KULUDE LOEND Nr 3: MULLATÖÖD</t>
  </si>
  <si>
    <t>KULUDE LOEND Nr 4: KATEND</t>
  </si>
  <si>
    <t>KULUDE LOEND Nr 5: TRUUBID JA VEEVIIMARID</t>
  </si>
  <si>
    <t>KULUDE LOEND Nr 6: KONSTRUKTSIOONID</t>
  </si>
  <si>
    <t>KULUDE LOEND Nr 7: LIIKLUSKORRALDUSVAHENDID</t>
  </si>
  <si>
    <t>KULUDE LOEND Nr 8: TEHNOVÕRGUD</t>
  </si>
  <si>
    <t>KULUDE LOEND Nr 9: MAASTIKUKUJUNDUSTÖÖD</t>
  </si>
  <si>
    <t>KANTUD KOGU SUMMASSE</t>
  </si>
  <si>
    <t>käibemaks 20%</t>
  </si>
  <si>
    <t>KOKKU käibemaksuga 20%</t>
  </si>
  <si>
    <t>KULUDE LOEND Nr 10: TALIHOOLE</t>
  </si>
  <si>
    <t>KULUDE LOEND NR 10: TALIHOOLE</t>
  </si>
  <si>
    <t>KULUDE LOEND NR 9: MAASTIKUKUJUNDUSTÖÖD</t>
  </si>
  <si>
    <t>KULUDE LOEND NR 8: TEHNOVÕRGUD</t>
  </si>
  <si>
    <t>KULUDE LOEND NR 7: LIIKLUSKORRALDUS- JA OHUTUSVAHENDID</t>
  </si>
  <si>
    <t>KULUDE LOEND NR 6: KONSTRUKTSIOONID</t>
  </si>
  <si>
    <t>KULUDE LOEND NR 5: DRENAAŽ JA TRUUBID</t>
  </si>
  <si>
    <t>KULUDE LOEND NR 4: KATEND</t>
  </si>
  <si>
    <t>KULUDE LOEND NR 3: MULLATÖÖD</t>
  </si>
  <si>
    <t>KULUDE LOEND NR 2: EHITUSOBJEKTI ETTEVALMISTAMINE</t>
  </si>
  <si>
    <t>Dreenkiht k&gt;1m/ööp (h=20 cm)</t>
  </si>
  <si>
    <t>4. profiil</t>
  </si>
  <si>
    <t>h=0,3 m</t>
  </si>
  <si>
    <t>Püsikute istusalad</t>
  </si>
  <si>
    <t>h=4-5 m</t>
  </si>
  <si>
    <t>a</t>
  </si>
  <si>
    <t>Killustikalus  fr4/32</t>
  </si>
  <si>
    <t>h=15cm</t>
  </si>
  <si>
    <r>
      <t>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  </t>
    </r>
  </si>
  <si>
    <t>h=12cm</t>
  </si>
  <si>
    <t>Killustikalus  fr4/32 kolmnurkplaatidega aladel</t>
  </si>
  <si>
    <t>h=6cm</t>
  </si>
  <si>
    <t xml:space="preserve">HanseMineral GreyRobust fr 0/22 mm aluskiht jalgteedel </t>
  </si>
  <si>
    <t>HanseGrand GreyRobust fr 0/11 mm katte kiht</t>
  </si>
  <si>
    <t>h=4cm</t>
  </si>
  <si>
    <t>HanseGrand GreyRobust fr 0/11 mm katte kiht lisa sideainega</t>
  </si>
  <si>
    <t>Ettenägemata tööd</t>
  </si>
  <si>
    <t>Graniitplaat 500x500  100 mm paigaldusbetooni kihiga</t>
  </si>
  <si>
    <t>täitepinnas</t>
  </si>
  <si>
    <t>Kolmnurkplaatide Vuugitäide tugevdatud kasvupinnasega, h=9 cm (70% graniitsõelned 0-8 mm, 30%muld)</t>
  </si>
  <si>
    <t>Kolmnurkplaat 435x435, h=10 cm (hall) muutuva vuugivahega, koos h=3 cm sõelmetest paigalduskihiga</t>
  </si>
  <si>
    <t>Ettevalmistus tööd</t>
  </si>
  <si>
    <t>Geodeetilised tööd</t>
  </si>
  <si>
    <t>Ol.ol sõelmetee eemaldamine orienteeruvalt 200 mm</t>
  </si>
  <si>
    <t>Geotekstiil, eraldav  (4. profiil)</t>
  </si>
  <si>
    <t xml:space="preserve">Muruparandus, lillemuru lisakülv nõlvade </t>
  </si>
  <si>
    <t>m2  </t>
  </si>
  <si>
    <t xml:space="preserve"> 4- 4,5 m</t>
  </si>
  <si>
    <t>5-6 m; diameeter 6-7 cm</t>
  </si>
  <si>
    <t>4-4,5 m; diameeter 4-5 cm</t>
  </si>
  <si>
    <t xml:space="preserve"> tk  </t>
  </si>
  <si>
    <t>Looduslik puisniidult masinkorjatud seeme</t>
  </si>
  <si>
    <t>kg</t>
  </si>
  <si>
    <t>Hüdrokülv koos kasvualuse tasandamisega</t>
  </si>
  <si>
    <t>130 m  0,6 mm, pruun</t>
  </si>
  <si>
    <t>Arheoloogiline uuring</t>
  </si>
  <si>
    <t>Prügikasti eemaldamine ja utiliseerimine</t>
  </si>
  <si>
    <t>Infostendi eemaldamine ja utiiliseerimine</t>
  </si>
  <si>
    <t>Pingi eemaldamine ja utiliseerimine</t>
  </si>
  <si>
    <t>Piirde eemaldamine ja utiliseerimine. Olemasoleva piirde parandus - piirdeaia nõlvaraja juures olevad otsad.</t>
  </si>
  <si>
    <t>Üksikpuude langetamine koos kändude freesimisega kännufreesiga. Raadamisjäätmete utiliseerimine.</t>
  </si>
  <si>
    <t>Ajutine liikluskorraldus (peaasjaslikult jalakäijate suunamine)</t>
  </si>
  <si>
    <t>Ehitusprojekti tööprojekti staadiumi koostamine. Teed, platsid, arh. väikevormid (sh nõlvarada ja erilahendusega istumispinnad/pingid), haljastus, välisvõrgud.</t>
  </si>
  <si>
    <t>Puude  kaitsmine ehituse perioodil (vt ka haljastuse seletuskiri osa ja asendiplaan koos vertikaalplaneerimise ning sidumisega).</t>
  </si>
  <si>
    <t>Tööde mõõdistamine ja märkimistööd (sh teostusmõõdistus)</t>
  </si>
  <si>
    <t>autorijärelevalve kokku 15 tööpäeva</t>
  </si>
  <si>
    <t>Pirogovi pargi osas olemasoleva katendi kaeve kaabli paigaldamiseks. Katendi parandus (II etapp)</t>
  </si>
  <si>
    <t>Pingi eemaldamine ja utiliseerimine (II etapp)</t>
  </si>
  <si>
    <t>h=70cm</t>
  </si>
  <si>
    <t>Kruusliivast aluskiht (tagasitäide erilahendusega pinkide tugiseinte vahelised alad, sh pinkide alused)</t>
  </si>
  <si>
    <t>Geotekstiil, eraldav, pinnakattetaimede istutusalad</t>
  </si>
  <si>
    <t>II klass</t>
  </si>
  <si>
    <t>Peenraserva ääristus teeservades - Hauraton Linefix Super või analoog, tsingitud</t>
  </si>
  <si>
    <t xml:space="preserve">Sademevete voolurennid. Sademeveerenni paigaldus (sh paigaldus kiht betoonist h=5cm)  </t>
  </si>
  <si>
    <t>Pirogovi pargi osas olemasoleva olemasoleva sademeveerenni ajutine eemaldamine kruvivundamentide paigaldamiseks. Sademeveerenni parandustööd ja kruvivundamentide perimeetris renni viimistlemine (II etapp)</t>
  </si>
  <si>
    <t>Istustusalade peenrapiire Gardenfix (või analoog) koos paigaldusega</t>
  </si>
  <si>
    <t xml:space="preserve">Pargipuu istutamine koos toestamisega (Harilik vaher Faassen’s Black’), kasvualuse rajamine, vt joonis seletuskirjast peatükk 5.3.1 </t>
  </si>
  <si>
    <t xml:space="preserve">Pargipuu istutamine koos toestamisega (Punane vaher ), kasvualuse rajamine, vt joonis seletuskirjast peatükk 5.3.1 </t>
  </si>
  <si>
    <t xml:space="preserve">Pargipuu istutamine koos toestamisega (Harilik pihlakas ), kasvualuse rajamine, vt joonis seletuskirjast peatükk 5.3.1 </t>
  </si>
  <si>
    <t>Istutatud põõsaste (sirelid) ehitusjärgne ajutine kaitse</t>
  </si>
  <si>
    <t>0,6-1,5 m (sirelid) kõrgustele põõsastele kasvualuse rajamine, istutamine ja multšimine (sordid vt seletuskiri ja asendiplaan)</t>
  </si>
  <si>
    <t xml:space="preserve">Pinnakatte püsikute istutusalad kasvualuse rajamisega ja multšimisega  </t>
  </si>
  <si>
    <t xml:space="preserve">Valgustuse metallmasti (h = 3,5 m), jalandi ja valgusti montaaž  </t>
  </si>
  <si>
    <t>Kaablikaeviku kaevamine kaabli/kaablite paigaldamisega torusse/torudesse koos taastamisega</t>
  </si>
  <si>
    <t>Kaablipaigaldus nõlvaraja külge (II etapp)</t>
  </si>
  <si>
    <t>Kordusmaanduse rajamine, R ≤ … Ω  (II etapp)</t>
  </si>
  <si>
    <t>Püsilill koos istutamisega - Siberi valdsteinia</t>
  </si>
  <si>
    <t>Püsilill koos istutamisega - Harilik sinilill</t>
  </si>
  <si>
    <t xml:space="preserve">Valgustuse metallmasti (h = 6 m), kruvivai jaland ja valgusti montaaž (II etapp)  </t>
  </si>
  <si>
    <t>Valgustuse metallmasti (h = 6 m), jalandi ja valgusti montaaž </t>
  </si>
  <si>
    <t>Maakaabel, 1kV-25 mm2</t>
  </si>
  <si>
    <t>AXPK 4G25</t>
  </si>
  <si>
    <t>Maakaabel, 1kV-25 mm2 (II etapp)</t>
  </si>
  <si>
    <t>Sõrmikotsamuhv (termokahanev, 25...70 mm2)</t>
  </si>
  <si>
    <t>Kaablikaitsetoru (plast) roheline </t>
  </si>
  <si>
    <t>Ø 75 (A-klass) </t>
  </si>
  <si>
    <t>Ø 32 (A-klass) </t>
  </si>
  <si>
    <t>Hoiatuslint “Elektrikaabel” (kollane kile) </t>
  </si>
  <si>
    <t>0,11x120 </t>
  </si>
  <si>
    <t>Turvalint</t>
  </si>
  <si>
    <t>Masti ühendus karp 2-5 hargnemisega </t>
  </si>
  <si>
    <t>Sularid </t>
  </si>
  <si>
    <t>6 A E27 </t>
  </si>
  <si>
    <t>Mastvalgustite osas Rm=30Ω </t>
  </si>
  <si>
    <t>Mast, 3,5m </t>
  </si>
  <si>
    <t>RAL5004, 3,5m, peab taluma 15 kg valgustit koos kinnitusega </t>
  </si>
  <si>
    <t>Mast, 6m </t>
  </si>
  <si>
    <t>RAL5004, 6m, peab taluma ca 50 kg valgusteid koos kinnitusega </t>
  </si>
  <si>
    <t>Vastavalt valgustile ning mastile </t>
  </si>
  <si>
    <t>Valgustid koos kinnitustega </t>
  </si>
  <si>
    <t>Täpsustatakse tööprojektiga </t>
  </si>
  <si>
    <t>70 kaablikinga(25mm) , 70 poltühendust.
KORO 25mm – 10 m</t>
  </si>
  <si>
    <t>EPKT 0031</t>
  </si>
  <si>
    <t>kompl</t>
  </si>
  <si>
    <t>Potentsiühtlustus nõlvarajale (II etapp)</t>
  </si>
  <si>
    <t>Kruvivai vundament 6 m mastile  (II etapp)</t>
  </si>
  <si>
    <t>Sõrmikotsamuhv (termokahanev, 25...70 mm2), II etapp</t>
  </si>
  <si>
    <t>Kaablikaitsetoru (plast) roheline, II etapp</t>
  </si>
  <si>
    <t>Hoiatuslint “Elektrikaabel” (kollane kile), II etapp</t>
  </si>
  <si>
    <t>Masti ühendus karp 2-5 hargnemisega, II etapp</t>
  </si>
  <si>
    <t>Sularid , II etapp</t>
  </si>
  <si>
    <t>Kordusmaandus, II etapp</t>
  </si>
  <si>
    <t>Mast, 6m, II etapp</t>
  </si>
  <si>
    <t>Mastvalgustile jaland 3,5 m mastile, jalandi ülaserv jääb projekteeritud maapinnast 100 mm sügavusele, kasutada vastavat tihendamise lahendust</t>
  </si>
  <si>
    <t>Mastvalgustile jaland 6 m mastile, jalandi ülaserv jääb projekteeritud maapinnast 100 mm sügavusele, kasutada vastavat tihendamise lahendust</t>
  </si>
  <si>
    <t>Valgustid koos kinnitustega, II etapp</t>
  </si>
  <si>
    <t>Vt elektripaigaldise osast Lisa 1.1 </t>
  </si>
  <si>
    <t>Kaabli paigaldus AXPK4G25</t>
  </si>
  <si>
    <t>Kaabli paigaldus AXPK4G25, II etapp</t>
  </si>
  <si>
    <t>töötund</t>
  </si>
  <si>
    <t>Välisvalgustuse seadistamine, valgustite reguleerimine mastidel, GOBO šabloonide ettevalmistus ja paigaldus</t>
  </si>
  <si>
    <t>Prügikast  - jäätmepunkt panditaara riiuliga (vt maastikuarhitektuuri osa seletuskiri) koos paigaldusega</t>
  </si>
  <si>
    <t>Hüdrokülv koos kasvualuse tasandamisega, II etapp</t>
  </si>
  <si>
    <t>0,6-1,5 m (pihlenelas) kõrgustele põõsastele kasvualuse rajamine, multšimine, istutamine, II etapp</t>
  </si>
  <si>
    <t>0,6-1,5 m (magesõstar) kõrgustele põõsastele kasvualuse rajamine, multšimine, istutamine, II etapp</t>
  </si>
  <si>
    <t xml:space="preserve">Ronitaimede kasvualuse rajamine, multšimine, istutamine, II etapp </t>
  </si>
  <si>
    <t>Kasvupinnase eemaldamine  (juurestiku kaitsevööndis arvestada ettenähtud tingimustega)</t>
  </si>
  <si>
    <t>Ehituseks sobimatu pinnase kaevandamine   (juurestiku kaitsevööndis arvestada ettenähtud tingimustega)</t>
  </si>
  <si>
    <t>Muldkeha ehitamine juurdeveetavast pinnasest   (juurestiku kaitsevööndis arvestada ettenähtud tingimustega)</t>
  </si>
  <si>
    <t>Mulde aluspinna planeerimine ja tihendamine   (juurestiku kaitsevööndis arvestada ettenähtud tingimustega)</t>
  </si>
  <si>
    <t>KOKKU</t>
  </si>
  <si>
    <t>EURO</t>
  </si>
  <si>
    <t>Detail</t>
  </si>
  <si>
    <t>Hinna määramine</t>
  </si>
  <si>
    <t>Hind/tk (euro)</t>
  </si>
  <si>
    <t>Kogus (tk)</t>
  </si>
  <si>
    <t>Hind (euro)</t>
  </si>
  <si>
    <t>Moodul</t>
  </si>
  <si>
    <t>Hinnamääramine</t>
  </si>
  <si>
    <t>Kogus</t>
  </si>
  <si>
    <t>Aeg (h)*</t>
  </si>
  <si>
    <t>Võrestik</t>
  </si>
  <si>
    <t>Ühe võre hind (2500x2000)</t>
  </si>
  <si>
    <t>Moodul 1</t>
  </si>
  <si>
    <t>Moodulite koguarv</t>
  </si>
  <si>
    <t>Nurkraud 50x50x5</t>
  </si>
  <si>
    <t>Vajalik kogus nurkraua hind</t>
  </si>
  <si>
    <t>Moodul 2</t>
  </si>
  <si>
    <t>Ümartoru 88.9x8</t>
  </si>
  <si>
    <t>1m ümartoru hind</t>
  </si>
  <si>
    <t>Moodul 3</t>
  </si>
  <si>
    <t>M8 kinnitusvahendid</t>
  </si>
  <si>
    <t>1 komplekti hind</t>
  </si>
  <si>
    <t>Istumisliistud</t>
  </si>
  <si>
    <t>Puidu koguse hind</t>
  </si>
  <si>
    <t>M24 kinnitusvahendid</t>
  </si>
  <si>
    <t>Lattraud 50x5 + lõikus</t>
  </si>
  <si>
    <t>Latt raua hind + 2 lõiget</t>
  </si>
  <si>
    <t>*Aeg on mõeldakse paigaldusaega mitte valmistamisaega</t>
  </si>
  <si>
    <t>Lattraud 70x4 + lõikus</t>
  </si>
  <si>
    <t>4 mm laserdetail</t>
  </si>
  <si>
    <t>Kogus kg</t>
  </si>
  <si>
    <t>Moodul 1 (Istumispinnata, seljatoeta)</t>
  </si>
  <si>
    <t>Kruvivundament</t>
  </si>
  <si>
    <t>KSF M 76x1300 - M16</t>
  </si>
  <si>
    <t>Hind/Tk (euro)</t>
  </si>
  <si>
    <t>Lisatööd</t>
  </si>
  <si>
    <t xml:space="preserve"> -Avade puurimine</t>
  </si>
  <si>
    <t>Ühe ava hind</t>
  </si>
  <si>
    <t>M10 kinnitusvahendid</t>
  </si>
  <si>
    <t>Üks komplekt</t>
  </si>
  <si>
    <t xml:space="preserve"> -Keevitus</t>
  </si>
  <si>
    <t>Visuaalse hinnang</t>
  </si>
  <si>
    <t>8 mm laserdetail</t>
  </si>
  <si>
    <t xml:space="preserve"> -Kuumtsinkimine</t>
  </si>
  <si>
    <t xml:space="preserve"> -Värvimine</t>
  </si>
  <si>
    <t>Visuaalne hinnang (h)</t>
  </si>
  <si>
    <t xml:space="preserve"> -Painutamine</t>
  </si>
  <si>
    <t>Ühe painde hind meetri kohta</t>
  </si>
  <si>
    <t>*Kinnitusvahendite komplektide alla kuulub polt, mutter ning 2 seibi</t>
  </si>
  <si>
    <t>SUMMA</t>
  </si>
  <si>
    <t xml:space="preserve"> -Painutamine (rullvalts)</t>
  </si>
  <si>
    <t>Ühe valtsi hind</t>
  </si>
  <si>
    <t>Astmete arv</t>
  </si>
  <si>
    <t>Ühe astme tegemishind</t>
  </si>
  <si>
    <t>Moodul 2 (Istumispinnaga, seljatoeta)</t>
  </si>
  <si>
    <t>Käsipuu trossid + kinnitus</t>
  </si>
  <si>
    <t>Roostevaba terastross D3</t>
  </si>
  <si>
    <t>1m roostevaba terastrossi D3</t>
  </si>
  <si>
    <t>Aaspoldid</t>
  </si>
  <si>
    <t>Ühe aaspoldi hind</t>
  </si>
  <si>
    <t>Lattraud 50x5</t>
  </si>
  <si>
    <t xml:space="preserve">Vajalik lattraud </t>
  </si>
  <si>
    <t>5 mm laserdetail</t>
  </si>
  <si>
    <t>3 mm laserdetail</t>
  </si>
  <si>
    <t xml:space="preserve"> -Avad + keermestamine</t>
  </si>
  <si>
    <t>Ühe keermestatud ava hind</t>
  </si>
  <si>
    <t>M6 kinnitusvahendid**</t>
  </si>
  <si>
    <t>Ühe komplekti hind</t>
  </si>
  <si>
    <t xml:space="preserve"> -Painutus</t>
  </si>
  <si>
    <t xml:space="preserve"> -Avadele chamferid</t>
  </si>
  <si>
    <t>Jooksva meetri hind</t>
  </si>
  <si>
    <t>Käsipuu kogus</t>
  </si>
  <si>
    <t>Nelikanttoru 40x40x3 1m</t>
  </si>
  <si>
    <t>Postid</t>
  </si>
  <si>
    <t>Postide kogu arv (tk)</t>
  </si>
  <si>
    <t>Käsipuu</t>
  </si>
  <si>
    <t>Käsipuu kogu arv (m)</t>
  </si>
  <si>
    <t>Moodul 3 (Istumispinnaga, seljatoega)</t>
  </si>
  <si>
    <t>Eelmine tabel</t>
  </si>
  <si>
    <t xml:space="preserve"> -Pulbervärv</t>
  </si>
  <si>
    <t>Paigaldusaeg</t>
  </si>
  <si>
    <t>Protsess</t>
  </si>
  <si>
    <t>Kirjeldus</t>
  </si>
  <si>
    <t>Protsessi aeg (h)</t>
  </si>
  <si>
    <t>Tunnihind (euro/h)</t>
  </si>
  <si>
    <t>Ümarteras D10</t>
  </si>
  <si>
    <t>1 m meetrihind + painutus</t>
  </si>
  <si>
    <t>Asukoha määramine</t>
  </si>
  <si>
    <t>Kruvivundamendi asukoht</t>
  </si>
  <si>
    <t>Kruvivundamendi paigaldamine</t>
  </si>
  <si>
    <t>Ümartoru</t>
  </si>
  <si>
    <t>Ümartoru kinnitamine</t>
  </si>
  <si>
    <t>Laserdetaili seadistamine</t>
  </si>
  <si>
    <t>Astme vahe lehe seadistamine</t>
  </si>
  <si>
    <t>Kolmnurga paigaldus</t>
  </si>
  <si>
    <t>Poltkinnitus (kahe mehe töö)</t>
  </si>
  <si>
    <t>Jookseva meetri hind</t>
  </si>
  <si>
    <t>Nõlvakäsipuu paigaldus</t>
  </si>
  <si>
    <t>Käsipuu kõik postid ning käsipuu</t>
  </si>
  <si>
    <t>Puitliistud</t>
  </si>
  <si>
    <t>Aaspolt kinnitused</t>
  </si>
  <si>
    <t>Aaspoltide paigalduse ühele käsipuu osale</t>
  </si>
  <si>
    <t xml:space="preserve"> -Sirged</t>
  </si>
  <si>
    <t>Ühe hind + kaks chamfrit</t>
  </si>
  <si>
    <t>Trossi paigaldus</t>
  </si>
  <si>
    <t>Roostevaba trossi vedamine ning kinnitamine</t>
  </si>
  <si>
    <t xml:space="preserve"> -Lõikega</t>
  </si>
  <si>
    <t>Puidukruvid</t>
  </si>
  <si>
    <t>Nelja kruvi hind</t>
  </si>
  <si>
    <t>Protsessihind</t>
  </si>
  <si>
    <t>Paigalduskogus</t>
  </si>
  <si>
    <t>Aeg (h)</t>
  </si>
  <si>
    <t xml:space="preserve"> -Puurimine</t>
  </si>
  <si>
    <t>Nelja kruvi kruvimine</t>
  </si>
  <si>
    <t xml:space="preserve">Kõigi astmete jaoks </t>
  </si>
  <si>
    <t>Korrutada tööaeg kogu astmete arvuga</t>
  </si>
  <si>
    <t>Käsipuu jaoks</t>
  </si>
  <si>
    <t>Korrutada tööaeg kogu käsipuu pikkusega</t>
  </si>
  <si>
    <t>*Kinnitusvahendite komplektide alla kuulub polt, mutter ning 2 suurt seibi</t>
  </si>
  <si>
    <t>**M6 kinnitusvahendite komplekt on M6 sisekuuskant ning keevismutter koos paigaldusega</t>
  </si>
  <si>
    <t>Hind</t>
  </si>
  <si>
    <t>Asukoha määrmine</t>
  </si>
  <si>
    <t>Kruvundaminedi asukoht</t>
  </si>
  <si>
    <t>Mooduli kinnitus</t>
  </si>
  <si>
    <t>Mooduli kinnitamine kruvivundamendi külge</t>
  </si>
  <si>
    <t>Omavaheline kinnitus</t>
  </si>
  <si>
    <t>Moodulite kinnitamine omavahel/seadistamine</t>
  </si>
  <si>
    <t>Moodul 2 ning 3</t>
  </si>
  <si>
    <t>Puitmoodulid</t>
  </si>
  <si>
    <t>Puitmooduli paigaldus teraskonstruktsioonile</t>
  </si>
  <si>
    <t>Hind (tk/euro)</t>
  </si>
  <si>
    <t>Kolmnurga, astme seina ning toetustala hind</t>
  </si>
  <si>
    <t>Käsipuu kogu hind</t>
  </si>
  <si>
    <t>Paigaldusaeg (kogus = h)</t>
  </si>
  <si>
    <t>1) Moodul 1 on ilma istumisaluseta ning seljatoeta moodul</t>
  </si>
  <si>
    <t>2) Moodul 2 on istumisalusega, aga seljatoeta moodul</t>
  </si>
  <si>
    <t>3) Moodul 3 on istumisalusega ning seljatoega moodul</t>
  </si>
  <si>
    <t>II etapp. Nõlvarada</t>
  </si>
  <si>
    <t>I etapp. Pingid A, B, C, D, E</t>
  </si>
  <si>
    <t>Püsilill koos istutamisega - Risoomikas kurereha (vt seletuskiri pt 5.2.4)</t>
  </si>
  <si>
    <t>Paigaldamine</t>
  </si>
  <si>
    <t>Transport (TLN-TRT 250 km)</t>
  </si>
  <si>
    <t>Kokku:</t>
  </si>
  <si>
    <t>I etapp. Pingid A,B,C,D,E</t>
  </si>
  <si>
    <t>Pingid A, B, C, D, E (vt töölehed EK_kululoend, EK_kokkuvõte)</t>
  </si>
  <si>
    <t>Kaablikaitsetoru (plast) must, sh teraskonstr. kinnitusklambrid (kuumtsingitud ja värvitud mustaks RAL 5004), II etapp</t>
  </si>
  <si>
    <t>Kordusmaandus (materjal)</t>
  </si>
  <si>
    <t>Kaablikaeviku kaevamine kaabli/kaablite paigaldamisega torusse/torudesse koos taastamisega, II etapp</t>
  </si>
  <si>
    <t>Lemmiklooma jäätmete kogumine  (vt maastikuarhitektuuri osa seletuskiri), koos paigaldusega</t>
  </si>
  <si>
    <t>Selja- ja käsitoega kataloogtootel põhinev pink, koos paigaldusega (vt maastikuarhitektuuri osa seletuskiri)</t>
  </si>
  <si>
    <t>Nõlvarada (vt töölehed EK_kululoend, EK_kokkuvõte), II etapp</t>
  </si>
  <si>
    <t>Olemasoleva sademevee restkaevu kaane asendamine muru-kuppelrestkaevuga. Kaevukaane reguleerimine madalamaks (kaevukaane kõrgus täpsustada tööde käigus teedeehituse järgselt ja enne muruala maapinna lõplikku planeerimist).</t>
  </si>
  <si>
    <t>Konstruktsioonide kululoend on jaotatud loenditesse nr 3, 4, 5, 8 ja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</si>
</sst>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"/>
    <numFmt numFmtId="165" formatCode="_-* #,##0\ [$€-425]_-;\-* #,##0\ [$€-425]_-;_-* &quot;-&quot;??\ [$€-425]_-;_-@_-"/>
    <numFmt numFmtId="166" formatCode="0.0"/>
    <numFmt numFmtId="167" formatCode="_-* #,##0.00_-;\-* #,##0.00_-;_-* &quot;-&quot;??_-;_-@_-"/>
  </numFmts>
  <fonts count="1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7" fontId="10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0" xfId="0" applyNumberFormat="1" applyFont="1" applyBorder="1"/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4" fillId="0" borderId="3" xfId="0" applyNumberFormat="1" applyFont="1" applyBorder="1"/>
    <xf numFmtId="0" fontId="2" fillId="0" borderId="1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center" wrapText="1"/>
    </xf>
    <xf numFmtId="3" fontId="6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0" xfId="0" applyFont="1" applyBorder="1"/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Border="1"/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/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/>
    <xf numFmtId="0" fontId="6" fillId="0" borderId="5" xfId="0" applyNumberFormat="1" applyFont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6" fillId="0" borderId="1" xfId="0" applyNumberFormat="1" applyFont="1" applyFill="1" applyBorder="1"/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/>
    <xf numFmtId="164" fontId="2" fillId="0" borderId="3" xfId="0" applyNumberFormat="1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/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/>
    <xf numFmtId="164" fontId="2" fillId="0" borderId="4" xfId="0" applyNumberFormat="1" applyFont="1" applyBorder="1"/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Border="1"/>
    <xf numFmtId="0" fontId="0" fillId="2" borderId="14" xfId="0" applyFill="1" applyBorder="1"/>
    <xf numFmtId="0" fontId="0" fillId="0" borderId="16" xfId="0" applyBorder="1"/>
    <xf numFmtId="0" fontId="0" fillId="0" borderId="0" xfId="0" applyBorder="1"/>
    <xf numFmtId="0" fontId="0" fillId="0" borderId="19" xfId="0" applyBorder="1"/>
    <xf numFmtId="0" fontId="12" fillId="0" borderId="0" xfId="0" applyFont="1"/>
    <xf numFmtId="0" fontId="0" fillId="0" borderId="16" xfId="0" applyFill="1" applyBorder="1"/>
    <xf numFmtId="0" fontId="0" fillId="0" borderId="0" xfId="0" applyFill="1" applyBorder="1"/>
    <xf numFmtId="0" fontId="0" fillId="0" borderId="19" xfId="0" applyFill="1" applyBorder="1"/>
    <xf numFmtId="0" fontId="0" fillId="0" borderId="21" xfId="0" applyFill="1" applyBorder="1"/>
    <xf numFmtId="0" fontId="0" fillId="0" borderId="11" xfId="0" applyBorder="1"/>
    <xf numFmtId="0" fontId="0" fillId="0" borderId="14" xfId="0" applyBorder="1"/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/>
    <xf numFmtId="0" fontId="0" fillId="0" borderId="21" xfId="0" applyBorder="1"/>
    <xf numFmtId="0" fontId="0" fillId="0" borderId="14" xfId="0" applyFill="1" applyBorder="1"/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8" xfId="0" applyFill="1" applyBorder="1"/>
    <xf numFmtId="2" fontId="11" fillId="0" borderId="9" xfId="0" applyNumberFormat="1" applyFont="1" applyFill="1" applyBorder="1"/>
    <xf numFmtId="0" fontId="12" fillId="0" borderId="10" xfId="0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0" fontId="0" fillId="0" borderId="15" xfId="0" applyFill="1" applyBorder="1"/>
    <xf numFmtId="2" fontId="0" fillId="0" borderId="0" xfId="0" applyNumberFormat="1" applyFill="1" applyBorder="1"/>
    <xf numFmtId="2" fontId="0" fillId="0" borderId="16" xfId="0" applyNumberFormat="1" applyFill="1" applyBorder="1"/>
    <xf numFmtId="0" fontId="0" fillId="0" borderId="18" xfId="0" applyFill="1" applyBorder="1"/>
    <xf numFmtId="0" fontId="0" fillId="0" borderId="17" xfId="0" applyFill="1" applyBorder="1"/>
    <xf numFmtId="2" fontId="0" fillId="0" borderId="18" xfId="0" applyNumberFormat="1" applyFill="1" applyBorder="1"/>
    <xf numFmtId="0" fontId="0" fillId="0" borderId="20" xfId="0" applyFill="1" applyBorder="1"/>
    <xf numFmtId="2" fontId="0" fillId="0" borderId="21" xfId="0" applyNumberFormat="1" applyFill="1" applyBorder="1"/>
    <xf numFmtId="2" fontId="0" fillId="0" borderId="19" xfId="0" applyNumberFormat="1" applyFill="1" applyBorder="1"/>
    <xf numFmtId="0" fontId="0" fillId="0" borderId="18" xfId="0" applyFill="1" applyBorder="1" applyAlignment="1">
      <alignment horizontal="center"/>
    </xf>
    <xf numFmtId="0" fontId="11" fillId="0" borderId="9" xfId="0" applyFont="1" applyFill="1" applyBorder="1"/>
    <xf numFmtId="0" fontId="0" fillId="0" borderId="22" xfId="0" applyFill="1" applyBorder="1"/>
    <xf numFmtId="0" fontId="0" fillId="0" borderId="10" xfId="0" applyFill="1" applyBorder="1" applyAlignment="1">
      <alignment horizontal="center"/>
    </xf>
    <xf numFmtId="2" fontId="0" fillId="0" borderId="9" xfId="0" applyNumberFormat="1" applyFill="1" applyBorder="1"/>
    <xf numFmtId="2" fontId="0" fillId="0" borderId="8" xfId="0" applyNumberFormat="1" applyFill="1" applyBorder="1"/>
    <xf numFmtId="0" fontId="0" fillId="0" borderId="11" xfId="0" applyFill="1" applyBorder="1"/>
    <xf numFmtId="2" fontId="0" fillId="0" borderId="15" xfId="0" applyNumberFormat="1" applyFill="1" applyBorder="1"/>
    <xf numFmtId="2" fontId="0" fillId="0" borderId="22" xfId="0" applyNumberFormat="1" applyFill="1" applyBorder="1"/>
    <xf numFmtId="0" fontId="0" fillId="0" borderId="9" xfId="0" applyFill="1" applyBorder="1"/>
    <xf numFmtId="166" fontId="0" fillId="0" borderId="9" xfId="0" applyNumberFormat="1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Protection="1">
      <protection hidden="1"/>
    </xf>
    <xf numFmtId="0" fontId="0" fillId="0" borderId="8" xfId="0" applyFill="1" applyBorder="1" applyProtection="1">
      <protection hidden="1"/>
    </xf>
    <xf numFmtId="2" fontId="11" fillId="0" borderId="9" xfId="0" applyNumberFormat="1" applyFont="1" applyFill="1" applyBorder="1" applyProtection="1">
      <protection hidden="1"/>
    </xf>
    <xf numFmtId="0" fontId="12" fillId="0" borderId="10" xfId="0" applyFont="1" applyFill="1" applyBorder="1" applyProtection="1"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12" xfId="0" applyFill="1" applyBorder="1" applyProtection="1">
      <protection hidden="1"/>
    </xf>
    <xf numFmtId="167" fontId="0" fillId="0" borderId="12" xfId="1" applyNumberFormat="1" applyFont="1" applyFill="1" applyBorder="1" applyProtection="1">
      <protection hidden="1"/>
    </xf>
    <xf numFmtId="1" fontId="0" fillId="0" borderId="13" xfId="0" applyNumberFormat="1" applyFill="1" applyBorder="1" applyProtection="1">
      <protection hidden="1"/>
    </xf>
    <xf numFmtId="2" fontId="0" fillId="0" borderId="13" xfId="0" applyNumberFormat="1" applyFill="1" applyBorder="1" applyProtection="1">
      <protection hidden="1"/>
    </xf>
    <xf numFmtId="0" fontId="0" fillId="0" borderId="16" xfId="0" applyFill="1" applyBorder="1" applyProtection="1"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Protection="1">
      <protection hidden="1"/>
    </xf>
    <xf numFmtId="2" fontId="0" fillId="0" borderId="18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2" fontId="0" fillId="0" borderId="19" xfId="0" applyNumberFormat="1" applyFill="1" applyBorder="1" applyProtection="1">
      <protection hidden="1"/>
    </xf>
    <xf numFmtId="0" fontId="0" fillId="0" borderId="20" xfId="0" applyFill="1" applyBorder="1" applyProtection="1">
      <protection hidden="1"/>
    </xf>
    <xf numFmtId="2" fontId="0" fillId="0" borderId="20" xfId="0" applyNumberFormat="1" applyFill="1" applyBorder="1" applyProtection="1">
      <protection hidden="1"/>
    </xf>
    <xf numFmtId="0" fontId="0" fillId="0" borderId="10" xfId="0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0" fontId="11" fillId="0" borderId="0" xfId="0" applyFont="1" applyFill="1" applyBorder="1"/>
    <xf numFmtId="0" fontId="0" fillId="0" borderId="17" xfId="0" applyFill="1" applyBorder="1" applyAlignment="1" applyProtection="1">
      <alignment horizontal="center"/>
      <protection hidden="1"/>
    </xf>
    <xf numFmtId="2" fontId="0" fillId="0" borderId="11" xfId="0" applyNumberFormat="1" applyFill="1" applyBorder="1" applyProtection="1">
      <protection hidden="1"/>
    </xf>
    <xf numFmtId="0" fontId="11" fillId="0" borderId="10" xfId="0" applyFont="1" applyFill="1" applyBorder="1"/>
    <xf numFmtId="0" fontId="0" fillId="0" borderId="11" xfId="0" applyFill="1" applyBorder="1" applyProtection="1">
      <protection hidden="1"/>
    </xf>
    <xf numFmtId="0" fontId="0" fillId="0" borderId="10" xfId="0" applyFill="1" applyBorder="1" applyProtection="1">
      <protection hidden="1"/>
    </xf>
    <xf numFmtId="2" fontId="0" fillId="0" borderId="8" xfId="0" applyNumberFormat="1" applyFill="1" applyBorder="1" applyAlignment="1" applyProtection="1">
      <alignment horizontal="right"/>
      <protection hidden="1"/>
    </xf>
    <xf numFmtId="2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ill="1" applyAlignment="1">
      <alignment horizontal="right"/>
    </xf>
    <xf numFmtId="2" fontId="0" fillId="0" borderId="0" xfId="0" applyNumberFormat="1"/>
    <xf numFmtId="2" fontId="11" fillId="0" borderId="0" xfId="0" applyNumberFormat="1" applyFont="1" applyFill="1"/>
    <xf numFmtId="0" fontId="0" fillId="0" borderId="10" xfId="0" applyFont="1" applyFill="1" applyBorder="1"/>
    <xf numFmtId="0" fontId="13" fillId="0" borderId="0" xfId="0" applyFont="1"/>
    <xf numFmtId="0" fontId="13" fillId="0" borderId="0" xfId="0" applyFont="1" applyFill="1"/>
    <xf numFmtId="0" fontId="14" fillId="0" borderId="0" xfId="0" applyFont="1" applyFill="1" applyProtection="1">
      <protection hidden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5" fontId="7" fillId="0" borderId="6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kaare1/Dropbox%20(TajuRuum%20OU&#776;)/-1%20TAJURUUM/-1%20PROJEKTID/TO&#776;O&#776;S/17K68%20Ta&#776;hetorni%20platsi%20ja%20Pirogovi%20treppide%20ehitusprojekt/1_Sisse/2017-11-21%20arhvorm%20Revismo/Maksuvuskalkulatsio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sumuse kokkuvõte"/>
      <sheetName val="Maksumus"/>
      <sheetName val="Jooniste tabel"/>
    </sheetNames>
    <sheetDataSet>
      <sheetData sheetId="0"/>
      <sheetData sheetId="1">
        <row r="3">
          <cell r="E3">
            <v>34231.150111111114</v>
          </cell>
        </row>
        <row r="22">
          <cell r="E22">
            <v>75</v>
          </cell>
        </row>
        <row r="70">
          <cell r="L70">
            <v>2.2999999999999998</v>
          </cell>
        </row>
        <row r="78">
          <cell r="L78">
            <v>2.35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zoomScale="150" zoomScaleNormal="150" zoomScalePageLayoutView="150" workbookViewId="0">
      <pane ySplit="1" topLeftCell="A63" activePane="bottomLeft" state="frozen"/>
      <selection pane="bottomLeft" activeCell="C77" sqref="C77"/>
    </sheetView>
  </sheetViews>
  <sheetFormatPr baseColWidth="10" defaultColWidth="9.1640625" defaultRowHeight="13" x14ac:dyDescent="0.15"/>
  <cols>
    <col min="1" max="1" width="8.1640625" style="3" customWidth="1"/>
    <col min="2" max="2" width="4.33203125" style="3" customWidth="1"/>
    <col min="3" max="3" width="49.1640625" style="3" customWidth="1"/>
    <col min="4" max="4" width="18.6640625" style="3" customWidth="1"/>
    <col min="5" max="5" width="11.6640625" style="5" customWidth="1"/>
    <col min="6" max="6" width="9.1640625" style="16"/>
    <col min="7" max="7" width="9.33203125" style="21" bestFit="1" customWidth="1"/>
    <col min="8" max="8" width="11.1640625" style="21" customWidth="1"/>
    <col min="9" max="16384" width="9.1640625" style="3"/>
  </cols>
  <sheetData>
    <row r="1" spans="1:8" ht="14" thickBot="1" x14ac:dyDescent="0.2">
      <c r="A1" s="10" t="s">
        <v>34</v>
      </c>
      <c r="B1" s="10"/>
      <c r="C1" s="10" t="s">
        <v>35</v>
      </c>
      <c r="D1" s="10" t="s">
        <v>37</v>
      </c>
      <c r="E1" s="11" t="s">
        <v>36</v>
      </c>
      <c r="F1" s="17" t="s">
        <v>38</v>
      </c>
      <c r="G1" s="22" t="s">
        <v>39</v>
      </c>
      <c r="H1" s="22" t="s">
        <v>40</v>
      </c>
    </row>
    <row r="2" spans="1:8" ht="14" thickTop="1" x14ac:dyDescent="0.15">
      <c r="F2" s="29"/>
      <c r="G2" s="30"/>
      <c r="H2" s="30"/>
    </row>
    <row r="3" spans="1:8" ht="15.75" customHeight="1" x14ac:dyDescent="0.2">
      <c r="A3" s="6" t="s">
        <v>42</v>
      </c>
    </row>
    <row r="4" spans="1:8" ht="14" thickBot="1" x14ac:dyDescent="0.2">
      <c r="A4" s="10" t="s">
        <v>34</v>
      </c>
      <c r="B4" s="10"/>
      <c r="C4" s="10" t="s">
        <v>35</v>
      </c>
      <c r="D4" s="10" t="s">
        <v>37</v>
      </c>
      <c r="E4" s="11" t="s">
        <v>36</v>
      </c>
      <c r="F4" s="17" t="s">
        <v>38</v>
      </c>
      <c r="G4" s="22" t="s">
        <v>39</v>
      </c>
      <c r="H4" s="22" t="s">
        <v>40</v>
      </c>
    </row>
    <row r="5" spans="1:8" s="48" customFormat="1" ht="14" thickTop="1" x14ac:dyDescent="0.15">
      <c r="A5" s="43">
        <v>10201</v>
      </c>
      <c r="B5" s="43"/>
      <c r="C5" s="43" t="s">
        <v>0</v>
      </c>
      <c r="D5" s="43"/>
      <c r="E5" s="44" t="s">
        <v>1</v>
      </c>
      <c r="F5" s="45">
        <v>1</v>
      </c>
      <c r="G5" s="46">
        <v>200</v>
      </c>
      <c r="H5" s="47">
        <f>G5*F5</f>
        <v>200</v>
      </c>
    </row>
    <row r="6" spans="1:8" s="48" customFormat="1" x14ac:dyDescent="0.15">
      <c r="A6" s="43">
        <v>10202</v>
      </c>
      <c r="B6" s="43"/>
      <c r="C6" s="43" t="s">
        <v>2</v>
      </c>
      <c r="D6" s="43"/>
      <c r="E6" s="44" t="s">
        <v>1</v>
      </c>
      <c r="F6" s="45">
        <v>1</v>
      </c>
      <c r="G6" s="46">
        <v>3500</v>
      </c>
      <c r="H6" s="47">
        <f t="shared" ref="H6:H17" si="0">G6*F6</f>
        <v>3500</v>
      </c>
    </row>
    <row r="7" spans="1:8" s="48" customFormat="1" x14ac:dyDescent="0.15">
      <c r="A7" s="43">
        <v>10203</v>
      </c>
      <c r="B7" s="43"/>
      <c r="C7" s="43" t="s">
        <v>3</v>
      </c>
      <c r="D7" s="43"/>
      <c r="E7" s="44" t="s">
        <v>1</v>
      </c>
      <c r="F7" s="45">
        <v>1</v>
      </c>
      <c r="G7" s="46">
        <v>1000</v>
      </c>
      <c r="H7" s="47">
        <f t="shared" si="0"/>
        <v>1000</v>
      </c>
    </row>
    <row r="8" spans="1:8" s="48" customFormat="1" x14ac:dyDescent="0.15">
      <c r="A8" s="43">
        <v>10204</v>
      </c>
      <c r="B8" s="43"/>
      <c r="C8" s="43" t="s">
        <v>4</v>
      </c>
      <c r="D8" s="43"/>
      <c r="E8" s="44" t="s">
        <v>1</v>
      </c>
      <c r="F8" s="45">
        <v>1</v>
      </c>
      <c r="G8" s="46">
        <v>1000</v>
      </c>
      <c r="H8" s="47">
        <f t="shared" si="0"/>
        <v>1000</v>
      </c>
    </row>
    <row r="9" spans="1:8" s="48" customFormat="1" x14ac:dyDescent="0.15">
      <c r="A9" s="43">
        <v>10206</v>
      </c>
      <c r="B9" s="43"/>
      <c r="C9" s="43" t="s">
        <v>5</v>
      </c>
      <c r="D9" s="43"/>
      <c r="E9" s="44" t="s">
        <v>1</v>
      </c>
      <c r="F9" s="45">
        <v>1</v>
      </c>
      <c r="G9" s="46">
        <v>1000</v>
      </c>
      <c r="H9" s="47">
        <f t="shared" si="0"/>
        <v>1000</v>
      </c>
    </row>
    <row r="10" spans="1:8" s="48" customFormat="1" x14ac:dyDescent="0.15">
      <c r="A10" s="43">
        <v>10207</v>
      </c>
      <c r="B10" s="43"/>
      <c r="C10" s="43" t="s">
        <v>6</v>
      </c>
      <c r="D10" s="43"/>
      <c r="E10" s="44" t="s">
        <v>1</v>
      </c>
      <c r="F10" s="45">
        <v>1</v>
      </c>
      <c r="G10" s="46">
        <v>1000</v>
      </c>
      <c r="H10" s="47">
        <f t="shared" si="0"/>
        <v>1000</v>
      </c>
    </row>
    <row r="11" spans="1:8" s="48" customFormat="1" x14ac:dyDescent="0.15">
      <c r="A11" s="43">
        <v>10208</v>
      </c>
      <c r="B11" s="43"/>
      <c r="C11" s="43" t="s">
        <v>7</v>
      </c>
      <c r="D11" s="43"/>
      <c r="E11" s="44" t="s">
        <v>1</v>
      </c>
      <c r="F11" s="45">
        <v>1</v>
      </c>
      <c r="G11" s="46">
        <v>1000</v>
      </c>
      <c r="H11" s="47">
        <f t="shared" si="0"/>
        <v>1000</v>
      </c>
    </row>
    <row r="12" spans="1:8" s="48" customFormat="1" x14ac:dyDescent="0.15">
      <c r="A12" s="43">
        <v>10210</v>
      </c>
      <c r="B12" s="43"/>
      <c r="C12" s="43" t="s">
        <v>8</v>
      </c>
      <c r="D12" s="43"/>
      <c r="E12" s="44" t="s">
        <v>1</v>
      </c>
      <c r="F12" s="45">
        <v>1</v>
      </c>
      <c r="G12" s="46">
        <v>1000</v>
      </c>
      <c r="H12" s="47">
        <f t="shared" si="0"/>
        <v>1000</v>
      </c>
    </row>
    <row r="13" spans="1:8" s="48" customFormat="1" x14ac:dyDescent="0.15">
      <c r="A13" s="43">
        <v>10211</v>
      </c>
      <c r="B13" s="43"/>
      <c r="C13" s="43" t="s">
        <v>110</v>
      </c>
      <c r="D13" s="43"/>
      <c r="E13" s="44" t="s">
        <v>1</v>
      </c>
      <c r="F13" s="45">
        <v>1</v>
      </c>
      <c r="G13" s="46">
        <v>3000</v>
      </c>
      <c r="H13" s="47">
        <f t="shared" si="0"/>
        <v>3000</v>
      </c>
    </row>
    <row r="14" spans="1:8" s="48" customFormat="1" x14ac:dyDescent="0.15">
      <c r="A14" s="43">
        <v>10212</v>
      </c>
      <c r="B14" s="43"/>
      <c r="C14" s="43" t="s">
        <v>9</v>
      </c>
      <c r="D14" s="43"/>
      <c r="E14" s="44" t="s">
        <v>1</v>
      </c>
      <c r="F14" s="45">
        <v>50</v>
      </c>
      <c r="G14" s="46">
        <v>45</v>
      </c>
      <c r="H14" s="47">
        <f t="shared" si="0"/>
        <v>2250</v>
      </c>
    </row>
    <row r="15" spans="1:8" s="48" customFormat="1" ht="39" x14ac:dyDescent="0.15">
      <c r="A15" s="49">
        <v>10212</v>
      </c>
      <c r="B15" s="49"/>
      <c r="C15" s="49" t="s">
        <v>108</v>
      </c>
      <c r="D15" s="49"/>
      <c r="E15" s="50" t="s">
        <v>10</v>
      </c>
      <c r="F15" s="51">
        <v>1</v>
      </c>
      <c r="G15" s="52">
        <v>7000</v>
      </c>
      <c r="H15" s="53">
        <f t="shared" si="0"/>
        <v>7000</v>
      </c>
    </row>
    <row r="16" spans="1:8" s="48" customFormat="1" ht="26" x14ac:dyDescent="0.15">
      <c r="A16" s="49">
        <v>10215</v>
      </c>
      <c r="B16" s="49"/>
      <c r="C16" s="49" t="s">
        <v>11</v>
      </c>
      <c r="D16" s="49" t="s">
        <v>111</v>
      </c>
      <c r="E16" s="50" t="s">
        <v>10</v>
      </c>
      <c r="F16" s="51">
        <v>1</v>
      </c>
      <c r="G16" s="52">
        <v>5000</v>
      </c>
      <c r="H16" s="53">
        <f t="shared" si="0"/>
        <v>5000</v>
      </c>
    </row>
    <row r="17" spans="1:8" s="48" customFormat="1" ht="14" thickBot="1" x14ac:dyDescent="0.2">
      <c r="A17" s="54">
        <v>70901</v>
      </c>
      <c r="B17" s="54"/>
      <c r="C17" s="54" t="s">
        <v>107</v>
      </c>
      <c r="D17" s="54"/>
      <c r="E17" s="55" t="s">
        <v>10</v>
      </c>
      <c r="F17" s="56">
        <v>1</v>
      </c>
      <c r="G17" s="57">
        <v>1500</v>
      </c>
      <c r="H17" s="58">
        <f t="shared" si="0"/>
        <v>1500</v>
      </c>
    </row>
    <row r="18" spans="1:8" ht="14" thickTop="1" x14ac:dyDescent="0.15">
      <c r="A18" s="12"/>
      <c r="B18" s="12"/>
      <c r="C18" s="12"/>
      <c r="D18" s="12"/>
      <c r="E18" s="13"/>
      <c r="F18" s="20"/>
      <c r="G18" s="25" t="s">
        <v>43</v>
      </c>
      <c r="H18" s="27">
        <f>SUM(H5:H17)</f>
        <v>28450</v>
      </c>
    </row>
    <row r="19" spans="1:8" x14ac:dyDescent="0.15">
      <c r="A19" s="1"/>
      <c r="B19" s="1"/>
      <c r="C19" s="1"/>
      <c r="D19" s="1"/>
      <c r="E19" s="2"/>
    </row>
    <row r="20" spans="1:8" ht="16" x14ac:dyDescent="0.2">
      <c r="A20" s="6" t="s">
        <v>65</v>
      </c>
    </row>
    <row r="21" spans="1:8" ht="14" thickBot="1" x14ac:dyDescent="0.2">
      <c r="A21" s="10" t="s">
        <v>34</v>
      </c>
      <c r="B21" s="10"/>
      <c r="C21" s="10" t="s">
        <v>35</v>
      </c>
      <c r="D21" s="10" t="s">
        <v>37</v>
      </c>
      <c r="E21" s="11" t="s">
        <v>36</v>
      </c>
      <c r="F21" s="17" t="s">
        <v>38</v>
      </c>
      <c r="G21" s="22" t="s">
        <v>39</v>
      </c>
      <c r="H21" s="22" t="s">
        <v>40</v>
      </c>
    </row>
    <row r="22" spans="1:8" ht="14" thickTop="1" x14ac:dyDescent="0.15">
      <c r="A22" s="12">
        <v>20101</v>
      </c>
      <c r="B22" s="12"/>
      <c r="C22" s="12" t="s">
        <v>12</v>
      </c>
      <c r="D22" s="12"/>
      <c r="E22" s="13" t="s">
        <v>1</v>
      </c>
      <c r="F22" s="20">
        <v>1</v>
      </c>
      <c r="G22" s="26">
        <v>200</v>
      </c>
      <c r="H22" s="47">
        <f t="shared" ref="H22:H31" si="1">G22*F22</f>
        <v>200</v>
      </c>
    </row>
    <row r="23" spans="1:8" x14ac:dyDescent="0.15">
      <c r="A23" s="8">
        <v>20202</v>
      </c>
      <c r="B23" s="8"/>
      <c r="C23" s="28" t="s">
        <v>13</v>
      </c>
      <c r="D23" s="28"/>
      <c r="E23" s="9" t="s">
        <v>1</v>
      </c>
      <c r="F23" s="18">
        <v>1</v>
      </c>
      <c r="G23" s="23">
        <v>1100</v>
      </c>
      <c r="H23" s="47">
        <f t="shared" si="1"/>
        <v>1100</v>
      </c>
    </row>
    <row r="24" spans="1:8" ht="26" x14ac:dyDescent="0.15">
      <c r="A24" s="8">
        <v>20208</v>
      </c>
      <c r="B24" s="8"/>
      <c r="C24" s="28" t="s">
        <v>106</v>
      </c>
      <c r="D24" s="28"/>
      <c r="E24" s="9" t="s">
        <v>14</v>
      </c>
      <c r="F24" s="18">
        <v>4</v>
      </c>
      <c r="G24" s="23">
        <v>500</v>
      </c>
      <c r="H24" s="47">
        <f t="shared" si="1"/>
        <v>2000</v>
      </c>
    </row>
    <row r="25" spans="1:8" ht="13.5" customHeight="1" x14ac:dyDescent="0.15">
      <c r="A25" s="8">
        <v>20212</v>
      </c>
      <c r="B25" s="8"/>
      <c r="C25" s="28" t="s">
        <v>15</v>
      </c>
      <c r="D25" s="28"/>
      <c r="E25" s="9" t="s">
        <v>31</v>
      </c>
      <c r="F25" s="18">
        <v>4600</v>
      </c>
      <c r="G25" s="23">
        <v>0.11</v>
      </c>
      <c r="H25" s="47">
        <f t="shared" si="1"/>
        <v>506</v>
      </c>
    </row>
    <row r="26" spans="1:8" x14ac:dyDescent="0.15">
      <c r="A26" s="8">
        <v>20320</v>
      </c>
      <c r="B26" s="8"/>
      <c r="C26" s="28" t="s">
        <v>102</v>
      </c>
      <c r="D26" s="28"/>
      <c r="E26" s="9" t="s">
        <v>17</v>
      </c>
      <c r="F26" s="18">
        <v>7</v>
      </c>
      <c r="G26" s="23">
        <v>30</v>
      </c>
      <c r="H26" s="47">
        <f t="shared" si="1"/>
        <v>210</v>
      </c>
    </row>
    <row r="27" spans="1:8" x14ac:dyDescent="0.15">
      <c r="A27" s="65">
        <v>20320</v>
      </c>
      <c r="B27" s="65"/>
      <c r="C27" s="28" t="s">
        <v>103</v>
      </c>
      <c r="D27" s="28"/>
      <c r="E27" s="64" t="s">
        <v>17</v>
      </c>
      <c r="F27" s="18">
        <v>2</v>
      </c>
      <c r="G27" s="23">
        <v>70</v>
      </c>
      <c r="H27" s="47">
        <f t="shared" si="1"/>
        <v>140</v>
      </c>
    </row>
    <row r="28" spans="1:8" x14ac:dyDescent="0.15">
      <c r="A28" s="65"/>
      <c r="B28" s="65"/>
      <c r="C28" s="28" t="s">
        <v>104</v>
      </c>
      <c r="D28" s="28"/>
      <c r="E28" s="64" t="s">
        <v>17</v>
      </c>
      <c r="F28" s="18">
        <v>6</v>
      </c>
      <c r="G28" s="23">
        <v>70</v>
      </c>
      <c r="H28" s="47">
        <f t="shared" si="1"/>
        <v>420</v>
      </c>
    </row>
    <row r="29" spans="1:8" x14ac:dyDescent="0.15">
      <c r="A29" s="67"/>
      <c r="B29" s="67"/>
      <c r="C29" s="28" t="s">
        <v>113</v>
      </c>
      <c r="D29" s="28"/>
      <c r="E29" s="66" t="s">
        <v>17</v>
      </c>
      <c r="F29" s="18">
        <v>1</v>
      </c>
      <c r="G29" s="23">
        <v>70</v>
      </c>
      <c r="H29" s="47">
        <f t="shared" si="1"/>
        <v>70</v>
      </c>
    </row>
    <row r="30" spans="1:8" ht="26" x14ac:dyDescent="0.15">
      <c r="A30" s="65"/>
      <c r="B30" s="65"/>
      <c r="C30" s="28" t="s">
        <v>105</v>
      </c>
      <c r="D30" s="28"/>
      <c r="E30" s="64" t="s">
        <v>22</v>
      </c>
      <c r="F30" s="18">
        <v>4</v>
      </c>
      <c r="G30" s="23">
        <v>70</v>
      </c>
      <c r="H30" s="47">
        <f t="shared" si="1"/>
        <v>280</v>
      </c>
    </row>
    <row r="31" spans="1:8" ht="14" thickBot="1" x14ac:dyDescent="0.2">
      <c r="A31" s="14"/>
      <c r="B31" s="14"/>
      <c r="C31" s="14" t="s">
        <v>101</v>
      </c>
      <c r="D31" s="14"/>
      <c r="E31" s="15" t="s">
        <v>1</v>
      </c>
      <c r="F31" s="19">
        <v>1</v>
      </c>
      <c r="G31" s="24">
        <v>3000</v>
      </c>
      <c r="H31" s="58">
        <f t="shared" si="1"/>
        <v>3000</v>
      </c>
    </row>
    <row r="32" spans="1:8" ht="14" thickTop="1" x14ac:dyDescent="0.15">
      <c r="A32" s="12"/>
      <c r="B32" s="12"/>
      <c r="C32" s="12"/>
      <c r="D32" s="12"/>
      <c r="E32" s="13"/>
      <c r="F32" s="20"/>
      <c r="G32" s="25" t="s">
        <v>43</v>
      </c>
      <c r="H32" s="27">
        <f>SUM(H22:H31)</f>
        <v>7926</v>
      </c>
    </row>
    <row r="33" spans="1:8" x14ac:dyDescent="0.15">
      <c r="A33" s="1"/>
      <c r="B33" s="1"/>
      <c r="C33" s="1"/>
      <c r="D33" s="1"/>
      <c r="E33" s="2"/>
    </row>
    <row r="34" spans="1:8" ht="16" x14ac:dyDescent="0.2">
      <c r="A34" s="6" t="s">
        <v>64</v>
      </c>
    </row>
    <row r="35" spans="1:8" ht="14" thickBot="1" x14ac:dyDescent="0.2">
      <c r="A35" s="10" t="s">
        <v>34</v>
      </c>
      <c r="B35" s="10"/>
      <c r="C35" s="10" t="s">
        <v>35</v>
      </c>
      <c r="D35" s="10" t="s">
        <v>37</v>
      </c>
      <c r="E35" s="11" t="s">
        <v>36</v>
      </c>
      <c r="F35" s="17" t="s">
        <v>38</v>
      </c>
      <c r="G35" s="22" t="s">
        <v>39</v>
      </c>
      <c r="H35" s="22" t="s">
        <v>40</v>
      </c>
    </row>
    <row r="36" spans="1:8" ht="27" thickTop="1" x14ac:dyDescent="0.15">
      <c r="A36" s="8">
        <v>30101</v>
      </c>
      <c r="B36" s="8"/>
      <c r="C36" s="8" t="s">
        <v>182</v>
      </c>
      <c r="D36" s="41" t="s">
        <v>68</v>
      </c>
      <c r="E36" s="9" t="s">
        <v>32</v>
      </c>
      <c r="F36" s="18">
        <v>190</v>
      </c>
      <c r="G36" s="23">
        <v>2.7</v>
      </c>
      <c r="H36" s="47">
        <f t="shared" ref="H36:H46" si="2">G36*F36</f>
        <v>513</v>
      </c>
    </row>
    <row r="37" spans="1:8" ht="26" x14ac:dyDescent="0.15">
      <c r="A37" s="8">
        <v>30103</v>
      </c>
      <c r="B37" s="8"/>
      <c r="C37" s="28" t="s">
        <v>183</v>
      </c>
      <c r="D37" s="28"/>
      <c r="E37" s="9" t="s">
        <v>32</v>
      </c>
      <c r="F37" s="18">
        <v>595</v>
      </c>
      <c r="G37" s="23">
        <v>3.3</v>
      </c>
      <c r="H37" s="47">
        <f t="shared" si="2"/>
        <v>1963.5</v>
      </c>
    </row>
    <row r="38" spans="1:8" ht="26" x14ac:dyDescent="0.15">
      <c r="A38" s="8">
        <v>30402</v>
      </c>
      <c r="B38" s="8"/>
      <c r="C38" s="28" t="s">
        <v>184</v>
      </c>
      <c r="D38" s="28" t="s">
        <v>84</v>
      </c>
      <c r="E38" s="9" t="s">
        <v>32</v>
      </c>
      <c r="F38" s="18">
        <v>83</v>
      </c>
      <c r="G38" s="23">
        <v>8.83</v>
      </c>
      <c r="H38" s="47">
        <f t="shared" si="2"/>
        <v>732.89</v>
      </c>
    </row>
    <row r="39" spans="1:8" ht="15" x14ac:dyDescent="0.15">
      <c r="A39" s="8">
        <v>30501</v>
      </c>
      <c r="B39" s="8"/>
      <c r="C39" s="41" t="s">
        <v>66</v>
      </c>
      <c r="D39" s="41"/>
      <c r="E39" s="9" t="s">
        <v>31</v>
      </c>
      <c r="F39" s="18">
        <v>1741</v>
      </c>
      <c r="G39" s="23">
        <v>2.5</v>
      </c>
      <c r="H39" s="47">
        <f t="shared" si="2"/>
        <v>4352.5</v>
      </c>
    </row>
    <row r="40" spans="1:8" ht="26" x14ac:dyDescent="0.15">
      <c r="A40" s="8">
        <v>30604</v>
      </c>
      <c r="B40" s="8"/>
      <c r="C40" s="28" t="s">
        <v>185</v>
      </c>
      <c r="D40" s="28"/>
      <c r="E40" s="9" t="s">
        <v>31</v>
      </c>
      <c r="F40" s="18">
        <v>1780</v>
      </c>
      <c r="G40" s="23">
        <v>0.15</v>
      </c>
      <c r="H40" s="47">
        <f t="shared" si="2"/>
        <v>267</v>
      </c>
    </row>
    <row r="41" spans="1:8" ht="15" x14ac:dyDescent="0.15">
      <c r="A41" s="8">
        <v>30605</v>
      </c>
      <c r="B41" s="8"/>
      <c r="C41" s="8" t="s">
        <v>87</v>
      </c>
      <c r="D41" s="8"/>
      <c r="E41" s="9" t="s">
        <v>31</v>
      </c>
      <c r="F41" s="18"/>
      <c r="G41" s="23"/>
      <c r="H41" s="47">
        <v>200</v>
      </c>
    </row>
    <row r="42" spans="1:8" ht="15" x14ac:dyDescent="0.15">
      <c r="A42" s="8">
        <v>30606</v>
      </c>
      <c r="B42" s="8"/>
      <c r="C42" s="8" t="s">
        <v>88</v>
      </c>
      <c r="D42" s="8"/>
      <c r="E42" s="9" t="s">
        <v>31</v>
      </c>
      <c r="F42" s="18"/>
      <c r="G42" s="23"/>
      <c r="H42" s="47">
        <v>1200</v>
      </c>
    </row>
    <row r="43" spans="1:8" ht="15" x14ac:dyDescent="0.15">
      <c r="A43" s="8">
        <v>30607</v>
      </c>
      <c r="B43" s="8"/>
      <c r="C43" s="8" t="s">
        <v>89</v>
      </c>
      <c r="D43" s="8"/>
      <c r="E43" s="9" t="s">
        <v>31</v>
      </c>
      <c r="F43" s="18">
        <v>1600</v>
      </c>
      <c r="G43" s="23">
        <v>4</v>
      </c>
      <c r="H43" s="47">
        <f t="shared" si="2"/>
        <v>6400</v>
      </c>
    </row>
    <row r="44" spans="1:8" x14ac:dyDescent="0.15">
      <c r="A44" s="8">
        <v>30613</v>
      </c>
      <c r="B44" s="8"/>
      <c r="C44" s="8" t="s">
        <v>18</v>
      </c>
      <c r="D44" s="8"/>
      <c r="E44" s="9" t="s">
        <v>1</v>
      </c>
      <c r="F44" s="18"/>
      <c r="G44" s="23"/>
      <c r="H44" s="47">
        <f t="shared" si="2"/>
        <v>0</v>
      </c>
    </row>
    <row r="45" spans="1:8" ht="15" x14ac:dyDescent="0.15">
      <c r="A45" s="67"/>
      <c r="B45" s="67"/>
      <c r="C45" s="67" t="s">
        <v>116</v>
      </c>
      <c r="D45" s="67" t="s">
        <v>117</v>
      </c>
      <c r="E45" s="66" t="s">
        <v>31</v>
      </c>
      <c r="F45" s="18">
        <v>170</v>
      </c>
      <c r="G45" s="23">
        <v>0.7</v>
      </c>
      <c r="H45" s="47">
        <f t="shared" si="2"/>
        <v>118.99999999999999</v>
      </c>
    </row>
    <row r="46" spans="1:8" ht="15" x14ac:dyDescent="0.15">
      <c r="A46" s="8">
        <v>30701</v>
      </c>
      <c r="B46" s="8"/>
      <c r="C46" s="8" t="s">
        <v>90</v>
      </c>
      <c r="D46" s="41" t="s">
        <v>67</v>
      </c>
      <c r="E46" s="9" t="s">
        <v>31</v>
      </c>
      <c r="F46" s="18">
        <v>1730</v>
      </c>
      <c r="G46" s="23">
        <v>0.9</v>
      </c>
      <c r="H46" s="47">
        <f t="shared" si="2"/>
        <v>1557</v>
      </c>
    </row>
    <row r="47" spans="1:8" x14ac:dyDescent="0.15">
      <c r="A47" s="12"/>
      <c r="B47" s="12"/>
      <c r="C47" s="12"/>
      <c r="D47" s="12"/>
      <c r="E47" s="13"/>
      <c r="F47" s="20"/>
      <c r="G47" s="25" t="s">
        <v>43</v>
      </c>
      <c r="H47" s="27">
        <f>SUM(H36:H46)</f>
        <v>17304.89</v>
      </c>
    </row>
    <row r="48" spans="1:8" x14ac:dyDescent="0.15">
      <c r="A48" s="1"/>
      <c r="B48" s="1"/>
      <c r="C48" s="1"/>
      <c r="D48" s="1"/>
      <c r="E48" s="2"/>
      <c r="G48" s="37"/>
      <c r="H48" s="38"/>
    </row>
    <row r="49" spans="1:8" ht="16" x14ac:dyDescent="0.2">
      <c r="A49" s="6" t="s">
        <v>63</v>
      </c>
      <c r="B49" s="1"/>
      <c r="C49" s="1"/>
      <c r="D49" s="1"/>
      <c r="E49" s="2"/>
    </row>
    <row r="50" spans="1:8" ht="14" thickBot="1" x14ac:dyDescent="0.2">
      <c r="A50" s="10" t="s">
        <v>34</v>
      </c>
      <c r="B50" s="10"/>
      <c r="C50" s="10" t="s">
        <v>35</v>
      </c>
      <c r="D50" s="10" t="s">
        <v>37</v>
      </c>
      <c r="E50" s="11" t="s">
        <v>36</v>
      </c>
      <c r="F50" s="17" t="s">
        <v>38</v>
      </c>
      <c r="G50" s="22" t="s">
        <v>39</v>
      </c>
      <c r="H50" s="22" t="s">
        <v>40</v>
      </c>
    </row>
    <row r="51" spans="1:8" s="48" customFormat="1" ht="16" thickTop="1" x14ac:dyDescent="0.15">
      <c r="A51" s="43">
        <v>40501</v>
      </c>
      <c r="B51" s="59" t="s">
        <v>71</v>
      </c>
      <c r="C51" s="60" t="s">
        <v>72</v>
      </c>
      <c r="D51" s="61" t="s">
        <v>75</v>
      </c>
      <c r="E51" s="44" t="s">
        <v>74</v>
      </c>
      <c r="F51" s="45">
        <v>1502</v>
      </c>
      <c r="G51" s="46">
        <v>3</v>
      </c>
      <c r="H51" s="47">
        <f t="shared" ref="H51:H52" si="3">G51*F51</f>
        <v>4506</v>
      </c>
    </row>
    <row r="52" spans="1:8" s="48" customFormat="1" ht="15" x14ac:dyDescent="0.15">
      <c r="A52" s="43">
        <v>40501</v>
      </c>
      <c r="B52" s="59" t="s">
        <v>71</v>
      </c>
      <c r="C52" s="60" t="s">
        <v>76</v>
      </c>
      <c r="D52" s="61" t="s">
        <v>73</v>
      </c>
      <c r="E52" s="44" t="s">
        <v>74</v>
      </c>
      <c r="F52" s="45">
        <v>237</v>
      </c>
      <c r="G52" s="46">
        <v>3.75</v>
      </c>
      <c r="H52" s="47">
        <f t="shared" si="3"/>
        <v>888.75</v>
      </c>
    </row>
    <row r="53" spans="1:8" s="48" customFormat="1" ht="15" x14ac:dyDescent="0.15">
      <c r="A53" s="43">
        <v>40501</v>
      </c>
      <c r="B53" s="59" t="s">
        <v>71</v>
      </c>
      <c r="C53" s="60" t="s">
        <v>78</v>
      </c>
      <c r="D53" s="61" t="s">
        <v>77</v>
      </c>
      <c r="E53" s="44" t="s">
        <v>74</v>
      </c>
      <c r="F53" s="45">
        <v>1534</v>
      </c>
      <c r="G53" s="46">
        <v>8.8000000000000007</v>
      </c>
      <c r="H53" s="47">
        <f t="shared" ref="H53" si="4">G53*F53</f>
        <v>13499.2</v>
      </c>
    </row>
    <row r="54" spans="1:8" s="48" customFormat="1" ht="15" x14ac:dyDescent="0.15">
      <c r="A54" s="43">
        <v>40501</v>
      </c>
      <c r="B54" s="59" t="s">
        <v>71</v>
      </c>
      <c r="C54" s="60" t="s">
        <v>79</v>
      </c>
      <c r="D54" s="61" t="s">
        <v>80</v>
      </c>
      <c r="E54" s="44" t="s">
        <v>74</v>
      </c>
      <c r="F54" s="45">
        <v>1090</v>
      </c>
      <c r="G54" s="46">
        <v>7</v>
      </c>
      <c r="H54" s="47">
        <f t="shared" ref="H54:H57" si="5">G54*F54</f>
        <v>7630</v>
      </c>
    </row>
    <row r="55" spans="1:8" s="48" customFormat="1" ht="15" x14ac:dyDescent="0.15">
      <c r="A55" s="43">
        <v>40501</v>
      </c>
      <c r="B55" s="59" t="s">
        <v>71</v>
      </c>
      <c r="C55" s="60" t="s">
        <v>81</v>
      </c>
      <c r="D55" s="61" t="s">
        <v>80</v>
      </c>
      <c r="E55" s="44" t="s">
        <v>74</v>
      </c>
      <c r="F55" s="45">
        <v>432</v>
      </c>
      <c r="G55" s="46">
        <v>15.9</v>
      </c>
      <c r="H55" s="47">
        <f t="shared" ref="H55:H56" si="6">G55*F55</f>
        <v>6868.8</v>
      </c>
    </row>
    <row r="56" spans="1:8" ht="26" x14ac:dyDescent="0.15">
      <c r="A56" s="8">
        <v>40508</v>
      </c>
      <c r="B56" s="8"/>
      <c r="C56" s="28" t="s">
        <v>115</v>
      </c>
      <c r="D56" s="66" t="s">
        <v>114</v>
      </c>
      <c r="E56" s="9" t="s">
        <v>31</v>
      </c>
      <c r="F56" s="18">
        <v>100</v>
      </c>
      <c r="G56" s="23">
        <v>20</v>
      </c>
      <c r="H56" s="47">
        <f t="shared" si="6"/>
        <v>2000</v>
      </c>
    </row>
    <row r="57" spans="1:8" ht="26" x14ac:dyDescent="0.15">
      <c r="A57" s="8"/>
      <c r="B57" s="8"/>
      <c r="C57" s="8" t="s">
        <v>118</v>
      </c>
      <c r="D57" s="8"/>
      <c r="E57" s="9" t="s">
        <v>16</v>
      </c>
      <c r="F57" s="18">
        <v>89</v>
      </c>
      <c r="G57" s="23">
        <v>20</v>
      </c>
      <c r="H57" s="47">
        <f t="shared" si="5"/>
        <v>1780</v>
      </c>
    </row>
    <row r="58" spans="1:8" x14ac:dyDescent="0.15">
      <c r="A58" s="68"/>
      <c r="B58" s="68"/>
      <c r="C58" s="69" t="s">
        <v>121</v>
      </c>
      <c r="D58" s="70" t="s">
        <v>100</v>
      </c>
      <c r="E58" s="71" t="s">
        <v>17</v>
      </c>
      <c r="F58" s="72">
        <v>40</v>
      </c>
      <c r="G58" s="73">
        <v>30</v>
      </c>
      <c r="H58" s="74">
        <f t="shared" ref="H58:H65" si="7">G58*F58</f>
        <v>1200</v>
      </c>
    </row>
    <row r="59" spans="1:8" x14ac:dyDescent="0.15">
      <c r="A59" s="8">
        <v>45003</v>
      </c>
      <c r="B59" s="8"/>
      <c r="C59" s="8" t="s">
        <v>19</v>
      </c>
      <c r="D59" s="8"/>
      <c r="E59" s="9" t="s">
        <v>16</v>
      </c>
      <c r="F59" s="18">
        <v>119</v>
      </c>
      <c r="G59" s="23">
        <v>30</v>
      </c>
      <c r="H59" s="47">
        <f t="shared" si="7"/>
        <v>3570</v>
      </c>
    </row>
    <row r="60" spans="1:8" ht="26" x14ac:dyDescent="0.15">
      <c r="A60" s="8">
        <v>45004</v>
      </c>
      <c r="B60" s="8"/>
      <c r="C60" s="42" t="s">
        <v>86</v>
      </c>
      <c r="D60" s="8"/>
      <c r="E60" s="9" t="s">
        <v>31</v>
      </c>
      <c r="F60" s="18">
        <v>149</v>
      </c>
      <c r="G60" s="23">
        <v>120</v>
      </c>
      <c r="H60" s="47">
        <f t="shared" si="7"/>
        <v>17880</v>
      </c>
    </row>
    <row r="61" spans="1:8" ht="31.25" customHeight="1" x14ac:dyDescent="0.15">
      <c r="A61" s="41"/>
      <c r="B61" s="41"/>
      <c r="C61" s="42" t="s">
        <v>85</v>
      </c>
      <c r="D61" s="41"/>
      <c r="E61" s="40" t="s">
        <v>31</v>
      </c>
      <c r="F61" s="18">
        <v>65</v>
      </c>
      <c r="G61" s="23">
        <v>20</v>
      </c>
      <c r="H61" s="47">
        <f t="shared" si="7"/>
        <v>1300</v>
      </c>
    </row>
    <row r="62" spans="1:8" ht="15" x14ac:dyDescent="0.15">
      <c r="A62" s="41">
        <v>45004</v>
      </c>
      <c r="B62" s="41"/>
      <c r="C62" s="41" t="s">
        <v>83</v>
      </c>
      <c r="D62" s="41"/>
      <c r="E62" s="40" t="s">
        <v>31</v>
      </c>
      <c r="F62" s="18">
        <v>15</v>
      </c>
      <c r="G62" s="23">
        <v>150</v>
      </c>
      <c r="H62" s="47">
        <f t="shared" si="7"/>
        <v>2250</v>
      </c>
    </row>
    <row r="63" spans="1:8" ht="26" x14ac:dyDescent="0.15">
      <c r="A63" s="8"/>
      <c r="B63" s="8"/>
      <c r="C63" s="8" t="s">
        <v>112</v>
      </c>
      <c r="D63" s="8"/>
      <c r="E63" s="9" t="s">
        <v>31</v>
      </c>
      <c r="F63" s="18">
        <v>31</v>
      </c>
      <c r="G63" s="23">
        <v>50</v>
      </c>
      <c r="H63" s="47">
        <f t="shared" si="7"/>
        <v>1550</v>
      </c>
    </row>
    <row r="64" spans="1:8" ht="52" x14ac:dyDescent="0.15">
      <c r="A64" s="8"/>
      <c r="B64" s="8"/>
      <c r="C64" s="67" t="s">
        <v>120</v>
      </c>
      <c r="D64" s="8"/>
      <c r="E64" s="9" t="s">
        <v>17</v>
      </c>
      <c r="F64" s="18">
        <v>1</v>
      </c>
      <c r="G64" s="23">
        <v>400</v>
      </c>
      <c r="H64" s="47">
        <f t="shared" si="7"/>
        <v>400</v>
      </c>
    </row>
    <row r="65" spans="1:8" ht="16" thickBot="1" x14ac:dyDescent="0.2">
      <c r="A65" s="14">
        <v>45007</v>
      </c>
      <c r="B65" s="14"/>
      <c r="C65" s="39" t="s">
        <v>20</v>
      </c>
      <c r="D65" s="39"/>
      <c r="E65" s="15" t="s">
        <v>33</v>
      </c>
      <c r="F65" s="19"/>
      <c r="G65" s="24"/>
      <c r="H65" s="58">
        <f t="shared" si="7"/>
        <v>0</v>
      </c>
    </row>
    <row r="66" spans="1:8" ht="14" thickTop="1" x14ac:dyDescent="0.15">
      <c r="A66" s="12"/>
      <c r="B66" s="12"/>
      <c r="C66" s="12"/>
      <c r="D66" s="12"/>
      <c r="E66" s="13"/>
      <c r="F66" s="20"/>
      <c r="G66" s="25" t="s">
        <v>43</v>
      </c>
      <c r="H66" s="27">
        <f>SUM(H51:H65)</f>
        <v>65322.75</v>
      </c>
    </row>
    <row r="67" spans="1:8" x14ac:dyDescent="0.15">
      <c r="A67" s="1"/>
      <c r="B67" s="1"/>
      <c r="C67" s="4"/>
      <c r="D67" s="4"/>
      <c r="E67" s="2"/>
    </row>
    <row r="68" spans="1:8" ht="16" x14ac:dyDescent="0.2">
      <c r="A68" s="6" t="s">
        <v>62</v>
      </c>
      <c r="B68" s="1"/>
      <c r="C68" s="4"/>
      <c r="D68" s="4"/>
      <c r="E68" s="2"/>
    </row>
    <row r="69" spans="1:8" ht="14" thickBot="1" x14ac:dyDescent="0.2">
      <c r="A69" s="10" t="s">
        <v>34</v>
      </c>
      <c r="B69" s="10"/>
      <c r="C69" s="10" t="s">
        <v>35</v>
      </c>
      <c r="D69" s="10" t="s">
        <v>37</v>
      </c>
      <c r="E69" s="11" t="s">
        <v>36</v>
      </c>
      <c r="F69" s="17" t="s">
        <v>38</v>
      </c>
      <c r="G69" s="22" t="s">
        <v>39</v>
      </c>
      <c r="H69" s="22" t="s">
        <v>40</v>
      </c>
    </row>
    <row r="70" spans="1:8" ht="27" thickTop="1" x14ac:dyDescent="0.15">
      <c r="A70" s="8">
        <v>50802</v>
      </c>
      <c r="B70" s="8"/>
      <c r="C70" s="8" t="s">
        <v>119</v>
      </c>
      <c r="D70" s="8"/>
      <c r="E70" s="9" t="s">
        <v>16</v>
      </c>
      <c r="F70" s="18">
        <v>25</v>
      </c>
      <c r="G70" s="23">
        <v>30</v>
      </c>
      <c r="H70" s="47">
        <f>G70*F70</f>
        <v>750</v>
      </c>
    </row>
    <row r="71" spans="1:8" ht="52" x14ac:dyDescent="0.15">
      <c r="A71" s="12"/>
      <c r="B71" s="12"/>
      <c r="C71" s="12" t="s">
        <v>338</v>
      </c>
      <c r="D71" s="12"/>
      <c r="E71" s="13" t="s">
        <v>17</v>
      </c>
      <c r="F71" s="20">
        <v>1</v>
      </c>
      <c r="G71" s="26">
        <v>400</v>
      </c>
      <c r="H71" s="47">
        <f>G71*F71</f>
        <v>400</v>
      </c>
    </row>
    <row r="72" spans="1:8" x14ac:dyDescent="0.15">
      <c r="A72" s="12"/>
      <c r="B72" s="12"/>
      <c r="C72" s="12"/>
      <c r="D72" s="12"/>
      <c r="E72" s="13"/>
      <c r="F72" s="20"/>
      <c r="G72" s="25" t="s">
        <v>43</v>
      </c>
      <c r="H72" s="27">
        <f>SUM(H70:H71)</f>
        <v>1150</v>
      </c>
    </row>
    <row r="73" spans="1:8" x14ac:dyDescent="0.15">
      <c r="A73" s="1"/>
      <c r="B73" s="1"/>
      <c r="C73" s="1"/>
      <c r="D73" s="1"/>
      <c r="E73" s="2"/>
    </row>
    <row r="74" spans="1:8" ht="16" x14ac:dyDescent="0.2">
      <c r="A74" s="6" t="s">
        <v>61</v>
      </c>
    </row>
    <row r="75" spans="1:8" ht="14" thickBot="1" x14ac:dyDescent="0.2">
      <c r="A75" s="10" t="s">
        <v>34</v>
      </c>
      <c r="B75" s="10"/>
      <c r="C75" s="10" t="s">
        <v>35</v>
      </c>
      <c r="D75" s="10" t="s">
        <v>37</v>
      </c>
      <c r="E75" s="11" t="s">
        <v>36</v>
      </c>
      <c r="F75" s="17" t="s">
        <v>38</v>
      </c>
      <c r="G75" s="22" t="s">
        <v>39</v>
      </c>
      <c r="H75" s="22" t="s">
        <v>40</v>
      </c>
    </row>
    <row r="76" spans="1:8" ht="15" thickTop="1" thickBot="1" x14ac:dyDescent="0.2">
      <c r="A76" s="14"/>
      <c r="B76" s="14"/>
      <c r="C76" s="14" t="s">
        <v>339</v>
      </c>
      <c r="D76" s="14"/>
      <c r="E76" s="15"/>
      <c r="F76" s="19"/>
      <c r="G76" s="24"/>
      <c r="H76" s="47">
        <f t="shared" ref="H76" si="8">G76*F76</f>
        <v>0</v>
      </c>
    </row>
    <row r="77" spans="1:8" ht="14" thickTop="1" x14ac:dyDescent="0.15">
      <c r="A77" s="12"/>
      <c r="B77" s="12"/>
      <c r="C77" s="12"/>
      <c r="D77" s="12"/>
      <c r="E77" s="13"/>
      <c r="F77" s="20"/>
      <c r="G77" s="25" t="s">
        <v>43</v>
      </c>
      <c r="H77" s="27">
        <f>SUM(H76:H76)</f>
        <v>0</v>
      </c>
    </row>
    <row r="78" spans="1:8" x14ac:dyDescent="0.15">
      <c r="A78" s="1"/>
      <c r="B78" s="1"/>
      <c r="C78" s="1"/>
      <c r="D78" s="1"/>
      <c r="E78" s="2"/>
    </row>
    <row r="79" spans="1:8" ht="16" x14ac:dyDescent="0.2">
      <c r="A79" s="6" t="s">
        <v>60</v>
      </c>
    </row>
    <row r="80" spans="1:8" ht="14" thickBot="1" x14ac:dyDescent="0.2">
      <c r="A80" s="10" t="s">
        <v>34</v>
      </c>
      <c r="B80" s="10"/>
      <c r="C80" s="10" t="s">
        <v>35</v>
      </c>
      <c r="D80" s="10" t="s">
        <v>37</v>
      </c>
      <c r="E80" s="11" t="s">
        <v>36</v>
      </c>
      <c r="F80" s="17" t="s">
        <v>38</v>
      </c>
      <c r="G80" s="22" t="s">
        <v>39</v>
      </c>
      <c r="H80" s="22" t="s">
        <v>40</v>
      </c>
    </row>
    <row r="81" spans="1:8" ht="14" thickTop="1" x14ac:dyDescent="0.15">
      <c r="A81" s="12"/>
      <c r="B81" s="12"/>
      <c r="C81" s="12"/>
      <c r="D81" s="12"/>
      <c r="E81" s="13"/>
      <c r="F81" s="20"/>
      <c r="G81" s="26"/>
      <c r="H81" s="47">
        <f t="shared" ref="H81" si="9">G81*F81</f>
        <v>0</v>
      </c>
    </row>
    <row r="82" spans="1:8" x14ac:dyDescent="0.15">
      <c r="A82" s="12"/>
      <c r="B82" s="12"/>
      <c r="C82" s="12"/>
      <c r="D82" s="12"/>
      <c r="E82" s="13"/>
      <c r="F82" s="20"/>
      <c r="G82" s="25" t="s">
        <v>43</v>
      </c>
      <c r="H82" s="27">
        <f>SUM(H81:H81)</f>
        <v>0</v>
      </c>
    </row>
    <row r="83" spans="1:8" x14ac:dyDescent="0.15">
      <c r="A83" s="1"/>
      <c r="B83" s="1"/>
      <c r="C83" s="1"/>
      <c r="D83" s="1"/>
      <c r="E83" s="2"/>
    </row>
    <row r="84" spans="1:8" ht="16" x14ac:dyDescent="0.2">
      <c r="A84" s="6" t="s">
        <v>59</v>
      </c>
    </row>
    <row r="85" spans="1:8" ht="14" thickBot="1" x14ac:dyDescent="0.2">
      <c r="A85" s="10" t="s">
        <v>34</v>
      </c>
      <c r="B85" s="10"/>
      <c r="C85" s="10" t="s">
        <v>35</v>
      </c>
      <c r="D85" s="10" t="s">
        <v>37</v>
      </c>
      <c r="E85" s="11" t="s">
        <v>36</v>
      </c>
      <c r="F85" s="17" t="s">
        <v>38</v>
      </c>
      <c r="G85" s="22" t="s">
        <v>39</v>
      </c>
      <c r="H85" s="22" t="s">
        <v>40</v>
      </c>
    </row>
    <row r="86" spans="1:8" ht="14" thickTop="1" x14ac:dyDescent="0.15">
      <c r="A86" s="89"/>
      <c r="B86" s="89"/>
      <c r="C86" s="91" t="s">
        <v>136</v>
      </c>
      <c r="D86" s="91" t="s">
        <v>137</v>
      </c>
      <c r="E86" s="92" t="s">
        <v>21</v>
      </c>
      <c r="F86" s="93">
        <v>350</v>
      </c>
      <c r="G86" s="90">
        <v>2.5</v>
      </c>
      <c r="H86" s="47">
        <f t="shared" ref="H86:H109" si="10">G86*F86</f>
        <v>875</v>
      </c>
    </row>
    <row r="87" spans="1:8" x14ac:dyDescent="0.15">
      <c r="A87" s="7"/>
      <c r="B87" s="7"/>
      <c r="C87" s="94" t="s">
        <v>138</v>
      </c>
      <c r="D87" s="94" t="s">
        <v>137</v>
      </c>
      <c r="E87" s="95" t="s">
        <v>21</v>
      </c>
      <c r="F87" s="96">
        <v>110</v>
      </c>
      <c r="G87" s="90">
        <v>2.5</v>
      </c>
      <c r="H87" s="47">
        <f t="shared" si="10"/>
        <v>275</v>
      </c>
    </row>
    <row r="88" spans="1:8" x14ac:dyDescent="0.15">
      <c r="A88" s="7"/>
      <c r="B88" s="7"/>
      <c r="C88" s="94" t="s">
        <v>139</v>
      </c>
      <c r="D88" s="94" t="s">
        <v>158</v>
      </c>
      <c r="E88" s="95" t="s">
        <v>14</v>
      </c>
      <c r="F88" s="96">
        <v>16</v>
      </c>
      <c r="G88" s="90">
        <v>10</v>
      </c>
      <c r="H88" s="47">
        <f t="shared" si="10"/>
        <v>160</v>
      </c>
    </row>
    <row r="89" spans="1:8" x14ac:dyDescent="0.15">
      <c r="A89" s="7"/>
      <c r="B89" s="7"/>
      <c r="C89" s="94" t="s">
        <v>162</v>
      </c>
      <c r="D89" s="94" t="s">
        <v>158</v>
      </c>
      <c r="E89" s="95" t="s">
        <v>14</v>
      </c>
      <c r="F89" s="96">
        <v>10</v>
      </c>
      <c r="G89" s="90">
        <v>10</v>
      </c>
      <c r="H89" s="47">
        <f t="shared" si="10"/>
        <v>100</v>
      </c>
    </row>
    <row r="90" spans="1:8" x14ac:dyDescent="0.15">
      <c r="A90" s="7"/>
      <c r="B90" s="7"/>
      <c r="C90" s="94" t="s">
        <v>140</v>
      </c>
      <c r="D90" s="94" t="s">
        <v>141</v>
      </c>
      <c r="E90" s="95" t="s">
        <v>21</v>
      </c>
      <c r="F90" s="96">
        <v>350</v>
      </c>
      <c r="G90" s="90">
        <v>1</v>
      </c>
      <c r="H90" s="47">
        <f t="shared" si="10"/>
        <v>350</v>
      </c>
    </row>
    <row r="91" spans="1:8" x14ac:dyDescent="0.15">
      <c r="A91" s="7"/>
      <c r="B91" s="7"/>
      <c r="C91" s="94" t="s">
        <v>163</v>
      </c>
      <c r="D91" s="94" t="s">
        <v>141</v>
      </c>
      <c r="E91" s="95" t="s">
        <v>21</v>
      </c>
      <c r="F91" s="96">
        <v>25</v>
      </c>
      <c r="G91" s="90">
        <v>1</v>
      </c>
      <c r="H91" s="47">
        <f t="shared" si="10"/>
        <v>25</v>
      </c>
    </row>
    <row r="92" spans="1:8" ht="26" x14ac:dyDescent="0.15">
      <c r="A92" s="7"/>
      <c r="B92" s="7"/>
      <c r="C92" s="94" t="s">
        <v>332</v>
      </c>
      <c r="D92" s="94" t="s">
        <v>142</v>
      </c>
      <c r="E92" s="95" t="s">
        <v>21</v>
      </c>
      <c r="F92" s="96">
        <v>90</v>
      </c>
      <c r="G92" s="90">
        <v>3</v>
      </c>
      <c r="H92" s="47">
        <f t="shared" si="10"/>
        <v>270</v>
      </c>
    </row>
    <row r="93" spans="1:8" x14ac:dyDescent="0.15">
      <c r="A93" s="7"/>
      <c r="B93" s="7"/>
      <c r="C93" s="94" t="s">
        <v>143</v>
      </c>
      <c r="D93" s="94" t="s">
        <v>144</v>
      </c>
      <c r="E93" s="95" t="s">
        <v>21</v>
      </c>
      <c r="F93" s="96">
        <v>250</v>
      </c>
      <c r="G93" s="90">
        <v>1</v>
      </c>
      <c r="H93" s="47">
        <f t="shared" si="10"/>
        <v>250</v>
      </c>
    </row>
    <row r="94" spans="1:8" x14ac:dyDescent="0.15">
      <c r="A94" s="7"/>
      <c r="B94" s="7"/>
      <c r="C94" s="94" t="s">
        <v>164</v>
      </c>
      <c r="D94" s="94" t="s">
        <v>144</v>
      </c>
      <c r="E94" s="95" t="s">
        <v>21</v>
      </c>
      <c r="F94" s="96">
        <v>25</v>
      </c>
      <c r="G94" s="90">
        <v>1</v>
      </c>
      <c r="H94" s="47">
        <f t="shared" si="10"/>
        <v>25</v>
      </c>
    </row>
    <row r="95" spans="1:8" x14ac:dyDescent="0.15">
      <c r="A95" s="7"/>
      <c r="B95" s="7"/>
      <c r="C95" s="94" t="s">
        <v>146</v>
      </c>
      <c r="D95" s="94"/>
      <c r="E95" s="95" t="s">
        <v>159</v>
      </c>
      <c r="F95" s="96">
        <v>11</v>
      </c>
      <c r="G95" s="90">
        <v>20</v>
      </c>
      <c r="H95" s="47">
        <f t="shared" si="10"/>
        <v>220</v>
      </c>
    </row>
    <row r="96" spans="1:8" x14ac:dyDescent="0.15">
      <c r="A96" s="7"/>
      <c r="B96" s="7"/>
      <c r="C96" s="94" t="s">
        <v>165</v>
      </c>
      <c r="D96" s="94"/>
      <c r="E96" s="95" t="s">
        <v>159</v>
      </c>
      <c r="F96" s="96">
        <v>4</v>
      </c>
      <c r="G96" s="90">
        <v>20</v>
      </c>
      <c r="H96" s="47">
        <f t="shared" si="10"/>
        <v>80</v>
      </c>
    </row>
    <row r="97" spans="1:8" x14ac:dyDescent="0.15">
      <c r="A97" s="7"/>
      <c r="B97" s="7"/>
      <c r="C97" s="94" t="s">
        <v>147</v>
      </c>
      <c r="D97" s="94" t="s">
        <v>148</v>
      </c>
      <c r="E97" s="95" t="s">
        <v>14</v>
      </c>
      <c r="F97" s="96">
        <v>11</v>
      </c>
      <c r="G97" s="90">
        <v>5</v>
      </c>
      <c r="H97" s="47">
        <f t="shared" si="10"/>
        <v>55</v>
      </c>
    </row>
    <row r="98" spans="1:8" x14ac:dyDescent="0.15">
      <c r="A98" s="7"/>
      <c r="B98" s="7"/>
      <c r="C98" s="94" t="s">
        <v>166</v>
      </c>
      <c r="D98" s="94" t="s">
        <v>148</v>
      </c>
      <c r="E98" s="95" t="s">
        <v>14</v>
      </c>
      <c r="F98" s="96">
        <v>4</v>
      </c>
      <c r="G98" s="90">
        <v>5</v>
      </c>
      <c r="H98" s="47">
        <f t="shared" si="10"/>
        <v>20</v>
      </c>
    </row>
    <row r="99" spans="1:8" ht="26" x14ac:dyDescent="0.15">
      <c r="A99" s="7"/>
      <c r="B99" s="7"/>
      <c r="C99" s="94" t="s">
        <v>333</v>
      </c>
      <c r="D99" s="94" t="s">
        <v>149</v>
      </c>
      <c r="E99" s="95" t="s">
        <v>159</v>
      </c>
      <c r="F99" s="96">
        <v>11</v>
      </c>
      <c r="G99" s="90">
        <v>25</v>
      </c>
      <c r="H99" s="47">
        <f t="shared" si="10"/>
        <v>275</v>
      </c>
    </row>
    <row r="100" spans="1:8" ht="26" x14ac:dyDescent="0.15">
      <c r="A100" s="7"/>
      <c r="B100" s="7"/>
      <c r="C100" s="94" t="s">
        <v>167</v>
      </c>
      <c r="D100" s="94" t="s">
        <v>149</v>
      </c>
      <c r="E100" s="95" t="s">
        <v>159</v>
      </c>
      <c r="F100" s="96">
        <v>4</v>
      </c>
      <c r="G100" s="90">
        <v>25</v>
      </c>
      <c r="H100" s="47">
        <f t="shared" si="10"/>
        <v>100</v>
      </c>
    </row>
    <row r="101" spans="1:8" ht="39" x14ac:dyDescent="0.15">
      <c r="A101" s="7"/>
      <c r="B101" s="7"/>
      <c r="C101" s="94" t="s">
        <v>150</v>
      </c>
      <c r="D101" s="94" t="s">
        <v>151</v>
      </c>
      <c r="E101" s="95" t="s">
        <v>159</v>
      </c>
      <c r="F101" s="96">
        <v>1</v>
      </c>
      <c r="G101" s="90">
        <v>800</v>
      </c>
      <c r="H101" s="47">
        <f t="shared" si="10"/>
        <v>800</v>
      </c>
    </row>
    <row r="102" spans="1:8" ht="52" x14ac:dyDescent="0.15">
      <c r="A102" s="7"/>
      <c r="B102" s="7"/>
      <c r="C102" s="94" t="s">
        <v>152</v>
      </c>
      <c r="D102" s="94" t="s">
        <v>153</v>
      </c>
      <c r="E102" s="95" t="s">
        <v>159</v>
      </c>
      <c r="F102" s="96">
        <v>10</v>
      </c>
      <c r="G102" s="90">
        <v>1000</v>
      </c>
      <c r="H102" s="47">
        <f t="shared" si="10"/>
        <v>10000</v>
      </c>
    </row>
    <row r="103" spans="1:8" ht="52" x14ac:dyDescent="0.15">
      <c r="A103" s="7"/>
      <c r="B103" s="7"/>
      <c r="C103" s="94" t="s">
        <v>168</v>
      </c>
      <c r="D103" s="94" t="s">
        <v>153</v>
      </c>
      <c r="E103" s="95" t="s">
        <v>159</v>
      </c>
      <c r="F103" s="96">
        <v>4</v>
      </c>
      <c r="G103" s="90">
        <v>1000</v>
      </c>
      <c r="H103" s="47">
        <f t="shared" si="10"/>
        <v>4000</v>
      </c>
    </row>
    <row r="104" spans="1:8" ht="39" x14ac:dyDescent="0.15">
      <c r="A104" s="7"/>
      <c r="B104" s="7"/>
      <c r="C104" s="94" t="s">
        <v>169</v>
      </c>
      <c r="D104" s="94" t="s">
        <v>154</v>
      </c>
      <c r="E104" s="95" t="s">
        <v>159</v>
      </c>
      <c r="F104" s="96">
        <v>1</v>
      </c>
      <c r="G104" s="90">
        <v>100</v>
      </c>
      <c r="H104" s="47">
        <f t="shared" si="10"/>
        <v>100</v>
      </c>
    </row>
    <row r="105" spans="1:8" ht="39" x14ac:dyDescent="0.15">
      <c r="A105" s="7"/>
      <c r="B105" s="7"/>
      <c r="C105" s="94" t="s">
        <v>170</v>
      </c>
      <c r="D105" s="94" t="s">
        <v>154</v>
      </c>
      <c r="E105" s="95" t="s">
        <v>159</v>
      </c>
      <c r="F105" s="96">
        <v>10</v>
      </c>
      <c r="G105" s="90">
        <v>100</v>
      </c>
      <c r="H105" s="47">
        <f t="shared" si="10"/>
        <v>1000</v>
      </c>
    </row>
    <row r="106" spans="1:8" ht="26" x14ac:dyDescent="0.15">
      <c r="A106" s="7"/>
      <c r="B106" s="7"/>
      <c r="C106" s="94" t="s">
        <v>155</v>
      </c>
      <c r="D106" s="94" t="s">
        <v>172</v>
      </c>
      <c r="E106" s="95" t="s">
        <v>159</v>
      </c>
      <c r="F106" s="96">
        <v>31</v>
      </c>
      <c r="G106" s="90">
        <v>1300</v>
      </c>
      <c r="H106" s="47">
        <f t="shared" si="10"/>
        <v>40300</v>
      </c>
    </row>
    <row r="107" spans="1:8" ht="26" x14ac:dyDescent="0.15">
      <c r="A107" s="7"/>
      <c r="B107" s="7"/>
      <c r="C107" s="94" t="s">
        <v>171</v>
      </c>
      <c r="D107" s="94" t="s">
        <v>172</v>
      </c>
      <c r="E107" s="95" t="s">
        <v>159</v>
      </c>
      <c r="F107" s="96">
        <v>14</v>
      </c>
      <c r="G107" s="90">
        <v>1300</v>
      </c>
      <c r="H107" s="47">
        <f t="shared" si="10"/>
        <v>18200</v>
      </c>
    </row>
    <row r="108" spans="1:8" ht="26" x14ac:dyDescent="0.15">
      <c r="A108" s="7"/>
      <c r="B108" s="7"/>
      <c r="C108" s="94" t="s">
        <v>161</v>
      </c>
      <c r="D108" s="94" t="s">
        <v>156</v>
      </c>
      <c r="E108" s="95" t="s">
        <v>159</v>
      </c>
      <c r="F108" s="96">
        <v>4</v>
      </c>
      <c r="G108" s="90">
        <v>120</v>
      </c>
      <c r="H108" s="47">
        <f t="shared" si="10"/>
        <v>480</v>
      </c>
    </row>
    <row r="109" spans="1:8" ht="14" customHeight="1" x14ac:dyDescent="0.15">
      <c r="A109" s="7"/>
      <c r="B109" s="7"/>
      <c r="C109" s="94" t="s">
        <v>160</v>
      </c>
      <c r="D109" s="94" t="s">
        <v>157</v>
      </c>
      <c r="E109" s="95" t="s">
        <v>159</v>
      </c>
      <c r="F109" s="96">
        <v>1</v>
      </c>
      <c r="G109" s="90">
        <v>150</v>
      </c>
      <c r="H109" s="47">
        <f t="shared" si="10"/>
        <v>150</v>
      </c>
    </row>
    <row r="110" spans="1:8" x14ac:dyDescent="0.15">
      <c r="A110" s="8">
        <v>80302</v>
      </c>
      <c r="B110" s="8"/>
      <c r="C110" s="8" t="s">
        <v>24</v>
      </c>
      <c r="D110" s="41" t="s">
        <v>70</v>
      </c>
      <c r="E110" s="9" t="s">
        <v>14</v>
      </c>
      <c r="F110" s="18">
        <v>7</v>
      </c>
      <c r="G110" s="23">
        <v>25</v>
      </c>
      <c r="H110" s="47">
        <f t="shared" ref="H110:H116" si="11">G110*F110</f>
        <v>175</v>
      </c>
    </row>
    <row r="111" spans="1:8" ht="26" x14ac:dyDescent="0.15">
      <c r="A111" s="67">
        <v>80308</v>
      </c>
      <c r="B111" s="67"/>
      <c r="C111" s="28" t="s">
        <v>129</v>
      </c>
      <c r="D111" s="8"/>
      <c r="E111" s="66" t="s">
        <v>16</v>
      </c>
      <c r="F111" s="18">
        <v>250</v>
      </c>
      <c r="G111" s="23">
        <v>13</v>
      </c>
      <c r="H111" s="47">
        <f t="shared" si="11"/>
        <v>3250</v>
      </c>
    </row>
    <row r="112" spans="1:8" ht="26" x14ac:dyDescent="0.15">
      <c r="A112" s="67">
        <v>80308</v>
      </c>
      <c r="B112" s="67"/>
      <c r="C112" s="28" t="s">
        <v>334</v>
      </c>
      <c r="D112" s="8"/>
      <c r="E112" s="66" t="s">
        <v>16</v>
      </c>
      <c r="F112" s="18">
        <v>20</v>
      </c>
      <c r="G112" s="23">
        <v>13</v>
      </c>
      <c r="H112" s="47">
        <f t="shared" si="11"/>
        <v>260</v>
      </c>
    </row>
    <row r="113" spans="1:8" x14ac:dyDescent="0.15">
      <c r="A113" s="67"/>
      <c r="B113" s="67"/>
      <c r="C113" s="28" t="s">
        <v>173</v>
      </c>
      <c r="D113" s="8"/>
      <c r="E113" s="66" t="s">
        <v>16</v>
      </c>
      <c r="F113" s="18">
        <v>350</v>
      </c>
      <c r="G113" s="23">
        <v>13</v>
      </c>
      <c r="H113" s="47">
        <f t="shared" si="11"/>
        <v>4550</v>
      </c>
    </row>
    <row r="114" spans="1:8" x14ac:dyDescent="0.15">
      <c r="A114" s="67"/>
      <c r="B114" s="67"/>
      <c r="C114" s="28" t="s">
        <v>174</v>
      </c>
      <c r="D114" s="8"/>
      <c r="E114" s="66" t="s">
        <v>21</v>
      </c>
      <c r="F114" s="18">
        <v>25</v>
      </c>
      <c r="G114" s="23">
        <v>13</v>
      </c>
      <c r="H114" s="47">
        <f t="shared" si="11"/>
        <v>325</v>
      </c>
    </row>
    <row r="115" spans="1:8" x14ac:dyDescent="0.15">
      <c r="A115" s="67">
        <v>80309</v>
      </c>
      <c r="B115" s="67"/>
      <c r="C115" s="28" t="s">
        <v>25</v>
      </c>
      <c r="D115" s="8"/>
      <c r="E115" s="66" t="s">
        <v>16</v>
      </c>
      <c r="F115" s="18">
        <v>15</v>
      </c>
      <c r="G115" s="23">
        <v>36</v>
      </c>
      <c r="H115" s="47">
        <f t="shared" si="11"/>
        <v>540</v>
      </c>
    </row>
    <row r="116" spans="1:8" ht="24" customHeight="1" x14ac:dyDescent="0.15">
      <c r="A116" s="67"/>
      <c r="B116" s="67"/>
      <c r="C116" s="28" t="s">
        <v>130</v>
      </c>
      <c r="D116" s="28"/>
      <c r="E116" s="66" t="s">
        <v>21</v>
      </c>
      <c r="F116" s="18">
        <v>80</v>
      </c>
      <c r="G116" s="23">
        <v>50</v>
      </c>
      <c r="H116" s="47">
        <f t="shared" si="11"/>
        <v>4000</v>
      </c>
    </row>
    <row r="117" spans="1:8" x14ac:dyDescent="0.15">
      <c r="A117" s="67">
        <v>80314</v>
      </c>
      <c r="B117" s="67"/>
      <c r="C117" s="28" t="s">
        <v>26</v>
      </c>
      <c r="D117" s="28"/>
      <c r="E117" s="66" t="s">
        <v>14</v>
      </c>
      <c r="F117" s="18">
        <v>11</v>
      </c>
      <c r="G117" s="23">
        <v>50</v>
      </c>
      <c r="H117" s="47">
        <f t="shared" ref="H117:H124" si="12">G117*F117</f>
        <v>550</v>
      </c>
    </row>
    <row r="118" spans="1:8" x14ac:dyDescent="0.15">
      <c r="A118" s="67">
        <v>80314</v>
      </c>
      <c r="B118" s="67"/>
      <c r="C118" s="28" t="s">
        <v>131</v>
      </c>
      <c r="D118" s="28"/>
      <c r="E118" s="66" t="s">
        <v>14</v>
      </c>
      <c r="F118" s="18">
        <v>4</v>
      </c>
      <c r="G118" s="23">
        <v>50</v>
      </c>
      <c r="H118" s="47">
        <f t="shared" si="12"/>
        <v>200</v>
      </c>
    </row>
    <row r="119" spans="1:8" x14ac:dyDescent="0.15">
      <c r="A119" s="67">
        <v>80316</v>
      </c>
      <c r="B119" s="67"/>
      <c r="C119" s="28" t="s">
        <v>128</v>
      </c>
      <c r="D119" s="28"/>
      <c r="E119" s="66" t="s">
        <v>14</v>
      </c>
      <c r="F119" s="18">
        <v>1</v>
      </c>
      <c r="G119" s="23">
        <v>80</v>
      </c>
      <c r="H119" s="47">
        <f t="shared" si="12"/>
        <v>80</v>
      </c>
    </row>
    <row r="120" spans="1:8" x14ac:dyDescent="0.15">
      <c r="A120" s="67">
        <v>80316</v>
      </c>
      <c r="B120" s="67"/>
      <c r="C120" s="28" t="s">
        <v>135</v>
      </c>
      <c r="D120" s="28"/>
      <c r="E120" s="66" t="s">
        <v>14</v>
      </c>
      <c r="F120" s="18">
        <v>10</v>
      </c>
      <c r="G120" s="23">
        <v>80</v>
      </c>
      <c r="H120" s="47">
        <f t="shared" si="12"/>
        <v>800</v>
      </c>
    </row>
    <row r="121" spans="1:8" ht="26" x14ac:dyDescent="0.15">
      <c r="A121" s="67">
        <v>80316</v>
      </c>
      <c r="B121" s="67"/>
      <c r="C121" s="28" t="s">
        <v>134</v>
      </c>
      <c r="D121" s="28"/>
      <c r="E121" s="66" t="s">
        <v>14</v>
      </c>
      <c r="F121" s="18">
        <v>4</v>
      </c>
      <c r="G121" s="23">
        <v>100</v>
      </c>
      <c r="H121" s="47">
        <f t="shared" si="12"/>
        <v>400</v>
      </c>
    </row>
    <row r="122" spans="1:8" x14ac:dyDescent="0.15">
      <c r="A122" s="67">
        <v>81005</v>
      </c>
      <c r="B122" s="67"/>
      <c r="C122" s="67" t="s">
        <v>145</v>
      </c>
      <c r="D122" s="28"/>
      <c r="E122" s="66" t="s">
        <v>16</v>
      </c>
      <c r="F122" s="18">
        <v>500</v>
      </c>
      <c r="G122" s="23">
        <v>1</v>
      </c>
      <c r="H122" s="47">
        <f t="shared" si="12"/>
        <v>500</v>
      </c>
    </row>
    <row r="123" spans="1:8" ht="26" x14ac:dyDescent="0.15">
      <c r="A123" s="84"/>
      <c r="B123" s="84"/>
      <c r="C123" s="84" t="s">
        <v>176</v>
      </c>
      <c r="D123" s="85"/>
      <c r="E123" s="86" t="s">
        <v>175</v>
      </c>
      <c r="F123" s="87">
        <v>50</v>
      </c>
      <c r="G123" s="88">
        <v>40</v>
      </c>
      <c r="H123" s="53">
        <f t="shared" si="12"/>
        <v>2000</v>
      </c>
    </row>
    <row r="124" spans="1:8" ht="14" thickBot="1" x14ac:dyDescent="0.2">
      <c r="A124" s="14"/>
      <c r="B124" s="14"/>
      <c r="C124" s="14"/>
      <c r="D124" s="14"/>
      <c r="E124" s="15"/>
      <c r="F124" s="19"/>
      <c r="G124" s="24"/>
      <c r="H124" s="58">
        <f t="shared" si="12"/>
        <v>0</v>
      </c>
    </row>
    <row r="125" spans="1:8" ht="14" thickTop="1" x14ac:dyDescent="0.15">
      <c r="A125" s="12"/>
      <c r="B125" s="12"/>
      <c r="C125" s="12"/>
      <c r="D125" s="12"/>
      <c r="E125" s="13"/>
      <c r="F125" s="20"/>
      <c r="G125" s="25" t="s">
        <v>43</v>
      </c>
      <c r="H125" s="27">
        <f>SUM(H86:H124)</f>
        <v>95740</v>
      </c>
    </row>
    <row r="126" spans="1:8" x14ac:dyDescent="0.15">
      <c r="A126" s="1"/>
      <c r="B126" s="1"/>
      <c r="C126" s="1"/>
      <c r="D126" s="1"/>
      <c r="E126" s="2"/>
      <c r="G126" s="37"/>
      <c r="H126" s="38"/>
    </row>
    <row r="127" spans="1:8" ht="16" x14ac:dyDescent="0.2">
      <c r="A127" s="6" t="s">
        <v>58</v>
      </c>
    </row>
    <row r="128" spans="1:8" ht="14" thickBot="1" x14ac:dyDescent="0.2">
      <c r="A128" s="10" t="s">
        <v>34</v>
      </c>
      <c r="B128" s="10"/>
      <c r="C128" s="10" t="s">
        <v>35</v>
      </c>
      <c r="D128" s="10" t="s">
        <v>37</v>
      </c>
      <c r="E128" s="11" t="s">
        <v>36</v>
      </c>
      <c r="F128" s="17" t="s">
        <v>38</v>
      </c>
      <c r="G128" s="22" t="s">
        <v>39</v>
      </c>
      <c r="H128" s="22" t="s">
        <v>40</v>
      </c>
    </row>
    <row r="129" spans="1:8" ht="16" thickTop="1" x14ac:dyDescent="0.15">
      <c r="A129" s="77">
        <v>90201</v>
      </c>
      <c r="B129" s="77"/>
      <c r="C129" s="77" t="s">
        <v>27</v>
      </c>
      <c r="D129" s="77"/>
      <c r="E129" s="78" t="s">
        <v>31</v>
      </c>
      <c r="F129" s="79">
        <v>95</v>
      </c>
      <c r="G129" s="80">
        <v>2</v>
      </c>
      <c r="H129" s="74">
        <f t="shared" ref="H129:H142" si="13">G129*F129</f>
        <v>190</v>
      </c>
    </row>
    <row r="130" spans="1:8" x14ac:dyDescent="0.15">
      <c r="A130" s="77"/>
      <c r="B130" s="77"/>
      <c r="C130" s="77" t="s">
        <v>91</v>
      </c>
      <c r="D130" s="77"/>
      <c r="E130" s="78" t="s">
        <v>92</v>
      </c>
      <c r="F130" s="79">
        <v>100</v>
      </c>
      <c r="G130" s="80">
        <v>2</v>
      </c>
      <c r="H130" s="74">
        <f>G130*F130</f>
        <v>200</v>
      </c>
    </row>
    <row r="131" spans="1:8" ht="15" x14ac:dyDescent="0.15">
      <c r="A131" s="75">
        <v>90202</v>
      </c>
      <c r="B131" s="75"/>
      <c r="C131" s="75" t="s">
        <v>28</v>
      </c>
      <c r="D131" s="75"/>
      <c r="E131" s="71" t="s">
        <v>31</v>
      </c>
      <c r="F131" s="72">
        <v>440</v>
      </c>
      <c r="G131" s="73">
        <v>6</v>
      </c>
      <c r="H131" s="74">
        <f t="shared" si="13"/>
        <v>2640</v>
      </c>
    </row>
    <row r="132" spans="1:8" ht="15" x14ac:dyDescent="0.15">
      <c r="A132" s="75">
        <v>90203</v>
      </c>
      <c r="B132" s="75"/>
      <c r="C132" s="75" t="s">
        <v>99</v>
      </c>
      <c r="D132" s="75"/>
      <c r="E132" s="71" t="s">
        <v>31</v>
      </c>
      <c r="F132" s="72">
        <v>975</v>
      </c>
      <c r="G132" s="73">
        <v>2.6</v>
      </c>
      <c r="H132" s="74">
        <f t="shared" si="13"/>
        <v>2535</v>
      </c>
    </row>
    <row r="133" spans="1:8" ht="15" x14ac:dyDescent="0.15">
      <c r="A133" s="75">
        <v>90203</v>
      </c>
      <c r="B133" s="75"/>
      <c r="C133" s="75" t="s">
        <v>178</v>
      </c>
      <c r="D133" s="75"/>
      <c r="E133" s="71" t="s">
        <v>31</v>
      </c>
      <c r="F133" s="72">
        <v>525</v>
      </c>
      <c r="G133" s="73">
        <v>3.2</v>
      </c>
      <c r="H133" s="74">
        <f t="shared" si="13"/>
        <v>1680</v>
      </c>
    </row>
    <row r="134" spans="1:8" x14ac:dyDescent="0.15">
      <c r="A134" s="75"/>
      <c r="B134" s="75"/>
      <c r="C134" s="75" t="s">
        <v>97</v>
      </c>
      <c r="D134" s="75"/>
      <c r="E134" s="71" t="s">
        <v>98</v>
      </c>
      <c r="F134" s="72">
        <v>14</v>
      </c>
      <c r="G134" s="73">
        <v>70</v>
      </c>
      <c r="H134" s="74">
        <f t="shared" si="13"/>
        <v>980</v>
      </c>
    </row>
    <row r="135" spans="1:8" s="76" customFormat="1" ht="15" x14ac:dyDescent="0.15">
      <c r="A135" s="75"/>
      <c r="B135" s="75"/>
      <c r="C135" s="75" t="s">
        <v>127</v>
      </c>
      <c r="D135" s="75" t="s">
        <v>69</v>
      </c>
      <c r="E135" s="71" t="s">
        <v>31</v>
      </c>
      <c r="F135" s="72">
        <v>150</v>
      </c>
      <c r="G135" s="73">
        <v>40</v>
      </c>
      <c r="H135" s="74">
        <f t="shared" si="13"/>
        <v>6000</v>
      </c>
    </row>
    <row r="136" spans="1:8" s="76" customFormat="1" x14ac:dyDescent="0.15">
      <c r="A136" s="75"/>
      <c r="B136" s="75"/>
      <c r="C136" s="75" t="s">
        <v>326</v>
      </c>
      <c r="D136" s="75" t="s">
        <v>69</v>
      </c>
      <c r="E136" s="71" t="s">
        <v>17</v>
      </c>
      <c r="F136" s="72">
        <v>649</v>
      </c>
      <c r="G136" s="73">
        <v>5</v>
      </c>
      <c r="H136" s="74">
        <f t="shared" si="13"/>
        <v>3245</v>
      </c>
    </row>
    <row r="137" spans="1:8" s="76" customFormat="1" x14ac:dyDescent="0.15">
      <c r="A137" s="75"/>
      <c r="B137" s="75"/>
      <c r="C137" s="75" t="s">
        <v>132</v>
      </c>
      <c r="D137" s="75" t="s">
        <v>69</v>
      </c>
      <c r="E137" s="71" t="s">
        <v>17</v>
      </c>
      <c r="F137" s="72">
        <v>1232</v>
      </c>
      <c r="G137" s="73">
        <v>5</v>
      </c>
      <c r="H137" s="74">
        <f t="shared" si="13"/>
        <v>6160</v>
      </c>
    </row>
    <row r="138" spans="1:8" s="76" customFormat="1" x14ac:dyDescent="0.15">
      <c r="A138" s="75"/>
      <c r="B138" s="75"/>
      <c r="C138" s="75" t="s">
        <v>133</v>
      </c>
      <c r="D138" s="75" t="s">
        <v>69</v>
      </c>
      <c r="E138" s="71" t="s">
        <v>17</v>
      </c>
      <c r="F138" s="72">
        <v>325</v>
      </c>
      <c r="G138" s="73">
        <v>5</v>
      </c>
      <c r="H138" s="74">
        <f t="shared" si="13"/>
        <v>1625</v>
      </c>
    </row>
    <row r="139" spans="1:8" ht="26" x14ac:dyDescent="0.15">
      <c r="A139" s="75"/>
      <c r="B139" s="75"/>
      <c r="C139" s="75" t="s">
        <v>122</v>
      </c>
      <c r="D139" s="75" t="s">
        <v>93</v>
      </c>
      <c r="E139" s="71" t="s">
        <v>17</v>
      </c>
      <c r="F139" s="72">
        <v>1</v>
      </c>
      <c r="G139" s="73">
        <v>450</v>
      </c>
      <c r="H139" s="74">
        <f t="shared" si="13"/>
        <v>450</v>
      </c>
    </row>
    <row r="140" spans="1:8" ht="26" x14ac:dyDescent="0.15">
      <c r="A140" s="75"/>
      <c r="B140" s="75"/>
      <c r="C140" s="75" t="s">
        <v>123</v>
      </c>
      <c r="D140" s="76" t="s">
        <v>95</v>
      </c>
      <c r="E140" s="71" t="s">
        <v>17</v>
      </c>
      <c r="F140" s="72">
        <v>2</v>
      </c>
      <c r="G140" s="73">
        <v>450</v>
      </c>
      <c r="H140" s="74">
        <f t="shared" si="13"/>
        <v>900</v>
      </c>
    </row>
    <row r="141" spans="1:8" ht="26" x14ac:dyDescent="0.15">
      <c r="A141" s="75"/>
      <c r="B141" s="75"/>
      <c r="C141" s="75" t="s">
        <v>124</v>
      </c>
      <c r="D141" s="75" t="s">
        <v>94</v>
      </c>
      <c r="E141" s="71" t="s">
        <v>96</v>
      </c>
      <c r="F141" s="72">
        <v>1</v>
      </c>
      <c r="G141" s="73">
        <v>450</v>
      </c>
      <c r="H141" s="74">
        <f t="shared" si="13"/>
        <v>450</v>
      </c>
    </row>
    <row r="142" spans="1:8" ht="26" x14ac:dyDescent="0.15">
      <c r="A142" s="75"/>
      <c r="B142" s="75"/>
      <c r="C142" s="75" t="s">
        <v>126</v>
      </c>
      <c r="D142" s="75"/>
      <c r="E142" s="71" t="s">
        <v>14</v>
      </c>
      <c r="F142" s="72">
        <v>22</v>
      </c>
      <c r="G142" s="73">
        <v>65</v>
      </c>
      <c r="H142" s="74">
        <f t="shared" si="13"/>
        <v>1430</v>
      </c>
    </row>
    <row r="143" spans="1:8" ht="26" x14ac:dyDescent="0.15">
      <c r="A143" s="75"/>
      <c r="B143" s="75"/>
      <c r="C143" s="75" t="s">
        <v>179</v>
      </c>
      <c r="D143" s="75"/>
      <c r="E143" s="71" t="s">
        <v>14</v>
      </c>
      <c r="F143" s="72">
        <v>20</v>
      </c>
      <c r="G143" s="73">
        <v>40</v>
      </c>
      <c r="H143" s="74">
        <f t="shared" ref="H143" si="14">G143*F143</f>
        <v>800</v>
      </c>
    </row>
    <row r="144" spans="1:8" ht="26" x14ac:dyDescent="0.15">
      <c r="A144" s="75"/>
      <c r="B144" s="75"/>
      <c r="C144" s="75" t="s">
        <v>180</v>
      </c>
      <c r="D144" s="75"/>
      <c r="E144" s="71" t="s">
        <v>14</v>
      </c>
      <c r="F144" s="72">
        <v>9</v>
      </c>
      <c r="G144" s="73">
        <v>20</v>
      </c>
      <c r="H144" s="74">
        <f t="shared" ref="H144" si="15">G144*F144</f>
        <v>180</v>
      </c>
    </row>
    <row r="145" spans="1:8" x14ac:dyDescent="0.15">
      <c r="A145" s="75"/>
      <c r="B145" s="75"/>
      <c r="C145" s="75" t="s">
        <v>181</v>
      </c>
      <c r="D145" s="75"/>
      <c r="E145" s="71" t="s">
        <v>14</v>
      </c>
      <c r="F145" s="72">
        <v>40</v>
      </c>
      <c r="G145" s="73">
        <v>20</v>
      </c>
      <c r="H145" s="74">
        <f t="shared" ref="H145" si="16">G145*F145</f>
        <v>800</v>
      </c>
    </row>
    <row r="146" spans="1:8" ht="16" customHeight="1" x14ac:dyDescent="0.15">
      <c r="A146" s="68"/>
      <c r="B146" s="68"/>
      <c r="C146" s="69" t="s">
        <v>125</v>
      </c>
      <c r="D146" s="81"/>
      <c r="E146" s="71" t="s">
        <v>17</v>
      </c>
      <c r="F146" s="72">
        <v>1</v>
      </c>
      <c r="G146" s="73">
        <v>1000</v>
      </c>
      <c r="H146" s="74">
        <f>G146*F146</f>
        <v>1000</v>
      </c>
    </row>
    <row r="147" spans="1:8" ht="29" customHeight="1" x14ac:dyDescent="0.15">
      <c r="A147" s="68"/>
      <c r="B147" s="68"/>
      <c r="C147" s="69" t="s">
        <v>109</v>
      </c>
      <c r="D147" s="70"/>
      <c r="E147" s="82" t="s">
        <v>14</v>
      </c>
      <c r="F147" s="83">
        <v>30</v>
      </c>
      <c r="G147" s="74">
        <v>250</v>
      </c>
      <c r="H147" s="74">
        <f>G147*F147</f>
        <v>7500</v>
      </c>
    </row>
    <row r="148" spans="1:8" ht="29" customHeight="1" x14ac:dyDescent="0.15">
      <c r="A148" s="68"/>
      <c r="B148" s="68"/>
      <c r="C148" s="69" t="s">
        <v>337</v>
      </c>
      <c r="D148" s="70"/>
      <c r="E148" s="82" t="s">
        <v>159</v>
      </c>
      <c r="F148" s="83">
        <v>1</v>
      </c>
      <c r="G148" s="74">
        <f>EK_kokkuvõte!E9</f>
        <v>45225</v>
      </c>
      <c r="H148" s="74">
        <f t="shared" ref="H148:H149" si="17">G148*F148</f>
        <v>45225</v>
      </c>
    </row>
    <row r="149" spans="1:8" ht="29" customHeight="1" x14ac:dyDescent="0.15">
      <c r="A149" s="68"/>
      <c r="B149" s="68"/>
      <c r="C149" s="69" t="s">
        <v>331</v>
      </c>
      <c r="D149" s="70"/>
      <c r="E149" s="82" t="s">
        <v>159</v>
      </c>
      <c r="F149" s="83">
        <v>1</v>
      </c>
      <c r="G149" s="74">
        <f>EK_kokkuvõte!L11</f>
        <v>47914.7</v>
      </c>
      <c r="H149" s="74">
        <f t="shared" si="17"/>
        <v>47914.7</v>
      </c>
    </row>
    <row r="150" spans="1:8" ht="37" customHeight="1" x14ac:dyDescent="0.15">
      <c r="A150" s="67">
        <v>93001</v>
      </c>
      <c r="B150" s="67"/>
      <c r="C150" s="67" t="s">
        <v>177</v>
      </c>
      <c r="D150" s="67"/>
      <c r="E150" s="66" t="s">
        <v>17</v>
      </c>
      <c r="F150" s="83">
        <v>9</v>
      </c>
      <c r="G150" s="74">
        <v>600</v>
      </c>
      <c r="H150" s="74">
        <f t="shared" ref="H150:H152" si="18">G150*F150</f>
        <v>5400</v>
      </c>
    </row>
    <row r="151" spans="1:8" ht="26" customHeight="1" x14ac:dyDescent="0.15">
      <c r="A151" s="67"/>
      <c r="B151" s="67"/>
      <c r="C151" s="67" t="s">
        <v>335</v>
      </c>
      <c r="D151" s="67"/>
      <c r="E151" s="66" t="s">
        <v>17</v>
      </c>
      <c r="F151" s="83">
        <v>2</v>
      </c>
      <c r="G151" s="74">
        <v>600</v>
      </c>
      <c r="H151" s="74">
        <f t="shared" si="18"/>
        <v>1200</v>
      </c>
    </row>
    <row r="152" spans="1:8" ht="30" customHeight="1" x14ac:dyDescent="0.15">
      <c r="A152" s="67">
        <v>93003</v>
      </c>
      <c r="B152" s="67"/>
      <c r="C152" s="67" t="s">
        <v>336</v>
      </c>
      <c r="D152" s="67"/>
      <c r="E152" s="66" t="s">
        <v>14</v>
      </c>
      <c r="F152" s="83">
        <v>2</v>
      </c>
      <c r="G152" s="74">
        <v>600</v>
      </c>
      <c r="H152" s="74">
        <f t="shared" si="18"/>
        <v>1200</v>
      </c>
    </row>
    <row r="153" spans="1:8" x14ac:dyDescent="0.15">
      <c r="A153" s="12"/>
      <c r="B153" s="12"/>
      <c r="C153" s="12"/>
      <c r="D153" s="12"/>
      <c r="E153" s="13"/>
      <c r="F153" s="20"/>
      <c r="G153" s="25" t="s">
        <v>43</v>
      </c>
      <c r="H153" s="27">
        <f>SUM(H129:H152)</f>
        <v>139704.70000000001</v>
      </c>
    </row>
    <row r="154" spans="1:8" x14ac:dyDescent="0.15">
      <c r="A154" s="1"/>
      <c r="B154" s="1"/>
      <c r="C154" s="1"/>
      <c r="D154" s="1"/>
      <c r="E154" s="2"/>
      <c r="G154" s="37"/>
      <c r="H154" s="38"/>
    </row>
    <row r="155" spans="1:8" ht="16" x14ac:dyDescent="0.2">
      <c r="A155" s="6" t="s">
        <v>57</v>
      </c>
    </row>
    <row r="156" spans="1:8" ht="14" thickBot="1" x14ac:dyDescent="0.2">
      <c r="A156" s="10" t="s">
        <v>34</v>
      </c>
      <c r="B156" s="10"/>
      <c r="C156" s="10" t="s">
        <v>35</v>
      </c>
      <c r="D156" s="10" t="s">
        <v>37</v>
      </c>
      <c r="E156" s="11" t="s">
        <v>36</v>
      </c>
      <c r="F156" s="17" t="s">
        <v>38</v>
      </c>
      <c r="G156" s="22" t="s">
        <v>39</v>
      </c>
      <c r="H156" s="22" t="s">
        <v>40</v>
      </c>
    </row>
    <row r="157" spans="1:8" ht="14" thickTop="1" x14ac:dyDescent="0.15">
      <c r="A157" s="12">
        <v>100101</v>
      </c>
      <c r="B157" s="12"/>
      <c r="C157" s="12" t="s">
        <v>29</v>
      </c>
      <c r="D157" s="12"/>
      <c r="E157" s="13" t="s">
        <v>30</v>
      </c>
      <c r="F157" s="20"/>
      <c r="G157" s="26"/>
      <c r="H157" s="26"/>
    </row>
    <row r="158" spans="1:8" ht="14" thickBot="1" x14ac:dyDescent="0.2">
      <c r="A158" s="10"/>
      <c r="B158" s="10"/>
      <c r="C158" s="10"/>
      <c r="D158" s="10"/>
      <c r="E158" s="11"/>
      <c r="F158" s="19"/>
      <c r="G158" s="24"/>
      <c r="H158" s="24"/>
    </row>
    <row r="159" spans="1:8" ht="14" thickTop="1" x14ac:dyDescent="0.15">
      <c r="A159" s="12"/>
      <c r="B159" s="12"/>
      <c r="C159" s="12"/>
      <c r="D159" s="12"/>
      <c r="E159" s="13"/>
      <c r="F159" s="20"/>
      <c r="G159" s="25" t="s">
        <v>43</v>
      </c>
      <c r="H159" s="27">
        <f>SUM(H157:H158)</f>
        <v>0</v>
      </c>
    </row>
    <row r="162" spans="1:8" ht="16" x14ac:dyDescent="0.2">
      <c r="A162" s="204" t="s">
        <v>44</v>
      </c>
      <c r="B162" s="204"/>
      <c r="C162" s="204"/>
      <c r="D162" s="204"/>
      <c r="E162" s="204"/>
      <c r="F162" s="204"/>
      <c r="G162" s="31"/>
      <c r="H162" s="32"/>
    </row>
    <row r="163" spans="1:8" x14ac:dyDescent="0.15">
      <c r="A163" s="33"/>
      <c r="B163" s="33"/>
      <c r="C163" s="34"/>
      <c r="D163" s="34"/>
      <c r="E163" s="33"/>
      <c r="F163" s="35"/>
      <c r="G163" s="31"/>
      <c r="H163" s="36"/>
    </row>
    <row r="164" spans="1:8" s="48" customFormat="1" x14ac:dyDescent="0.15">
      <c r="A164" s="193" t="s">
        <v>41</v>
      </c>
      <c r="B164" s="193"/>
      <c r="C164" s="193"/>
      <c r="D164" s="193"/>
      <c r="E164" s="193"/>
      <c r="F164" s="193"/>
      <c r="G164" s="202">
        <f>H18</f>
        <v>28450</v>
      </c>
      <c r="H164" s="203"/>
    </row>
    <row r="165" spans="1:8" s="48" customFormat="1" x14ac:dyDescent="0.15">
      <c r="A165" s="193" t="s">
        <v>45</v>
      </c>
      <c r="B165" s="193"/>
      <c r="C165" s="193"/>
      <c r="D165" s="193"/>
      <c r="E165" s="193"/>
      <c r="F165" s="193"/>
      <c r="G165" s="202">
        <f>H32</f>
        <v>7926</v>
      </c>
      <c r="H165" s="203"/>
    </row>
    <row r="166" spans="1:8" s="48" customFormat="1" x14ac:dyDescent="0.15">
      <c r="A166" s="193" t="s">
        <v>46</v>
      </c>
      <c r="B166" s="193"/>
      <c r="C166" s="193"/>
      <c r="D166" s="193"/>
      <c r="E166" s="193"/>
      <c r="F166" s="193"/>
      <c r="G166" s="202">
        <f>H47</f>
        <v>17304.89</v>
      </c>
      <c r="H166" s="203"/>
    </row>
    <row r="167" spans="1:8" s="48" customFormat="1" x14ac:dyDescent="0.15">
      <c r="A167" s="193" t="s">
        <v>47</v>
      </c>
      <c r="B167" s="193"/>
      <c r="C167" s="193"/>
      <c r="D167" s="193"/>
      <c r="E167" s="193"/>
      <c r="F167" s="193"/>
      <c r="G167" s="202">
        <f>H66</f>
        <v>65322.75</v>
      </c>
      <c r="H167" s="203"/>
    </row>
    <row r="168" spans="1:8" s="48" customFormat="1" x14ac:dyDescent="0.15">
      <c r="A168" s="193" t="s">
        <v>48</v>
      </c>
      <c r="B168" s="193"/>
      <c r="C168" s="193"/>
      <c r="D168" s="193"/>
      <c r="E168" s="193"/>
      <c r="F168" s="193"/>
      <c r="G168" s="202">
        <f>H72</f>
        <v>1150</v>
      </c>
      <c r="H168" s="203"/>
    </row>
    <row r="169" spans="1:8" s="48" customFormat="1" x14ac:dyDescent="0.15">
      <c r="A169" s="193" t="s">
        <v>49</v>
      </c>
      <c r="B169" s="193"/>
      <c r="C169" s="193"/>
      <c r="D169" s="193"/>
      <c r="E169" s="193"/>
      <c r="F169" s="193"/>
      <c r="G169" s="202">
        <f>H77</f>
        <v>0</v>
      </c>
      <c r="H169" s="203"/>
    </row>
    <row r="170" spans="1:8" s="48" customFormat="1" x14ac:dyDescent="0.15">
      <c r="A170" s="193" t="s">
        <v>50</v>
      </c>
      <c r="B170" s="193"/>
      <c r="C170" s="193"/>
      <c r="D170" s="193"/>
      <c r="E170" s="193"/>
      <c r="F170" s="193"/>
      <c r="G170" s="202">
        <f>H82</f>
        <v>0</v>
      </c>
      <c r="H170" s="203"/>
    </row>
    <row r="171" spans="1:8" s="48" customFormat="1" x14ac:dyDescent="0.15">
      <c r="A171" s="193" t="s">
        <v>51</v>
      </c>
      <c r="B171" s="193"/>
      <c r="C171" s="193"/>
      <c r="D171" s="193"/>
      <c r="E171" s="193"/>
      <c r="F171" s="193"/>
      <c r="G171" s="202">
        <f>H125</f>
        <v>95740</v>
      </c>
      <c r="H171" s="203"/>
    </row>
    <row r="172" spans="1:8" s="48" customFormat="1" x14ac:dyDescent="0.15">
      <c r="A172" s="193" t="s">
        <v>52</v>
      </c>
      <c r="B172" s="193"/>
      <c r="C172" s="193"/>
      <c r="D172" s="193"/>
      <c r="E172" s="193"/>
      <c r="F172" s="193"/>
      <c r="G172" s="202">
        <f>H153</f>
        <v>139704.70000000001</v>
      </c>
      <c r="H172" s="203"/>
    </row>
    <row r="173" spans="1:8" s="48" customFormat="1" x14ac:dyDescent="0.15">
      <c r="A173" s="193" t="s">
        <v>56</v>
      </c>
      <c r="B173" s="193"/>
      <c r="C173" s="193"/>
      <c r="D173" s="193"/>
      <c r="E173" s="193"/>
      <c r="F173" s="193"/>
      <c r="G173" s="202">
        <f>H160</f>
        <v>0</v>
      </c>
      <c r="H173" s="203"/>
    </row>
    <row r="174" spans="1:8" s="48" customFormat="1" x14ac:dyDescent="0.15">
      <c r="A174" s="62"/>
      <c r="B174" s="62"/>
      <c r="C174" s="62"/>
      <c r="D174" s="62"/>
      <c r="E174" s="62"/>
      <c r="F174" s="62"/>
      <c r="G174" s="63"/>
      <c r="H174" s="63"/>
    </row>
    <row r="175" spans="1:8" s="48" customFormat="1" x14ac:dyDescent="0.15">
      <c r="A175" s="33"/>
      <c r="B175" s="33"/>
      <c r="C175" s="34"/>
      <c r="D175" s="194" t="s">
        <v>53</v>
      </c>
      <c r="E175" s="194"/>
      <c r="F175" s="194"/>
      <c r="G175" s="202">
        <f>SUM(G164:H173)</f>
        <v>355598.34</v>
      </c>
      <c r="H175" s="203"/>
    </row>
    <row r="176" spans="1:8" s="48" customFormat="1" x14ac:dyDescent="0.15">
      <c r="A176" s="33"/>
      <c r="B176" s="33"/>
      <c r="C176" s="34"/>
      <c r="D176" s="196" t="s">
        <v>82</v>
      </c>
      <c r="E176" s="197"/>
      <c r="F176" s="198"/>
      <c r="G176" s="202">
        <f>G175*0.05</f>
        <v>17779.917000000001</v>
      </c>
      <c r="H176" s="203"/>
    </row>
    <row r="177" spans="1:8" s="48" customFormat="1" x14ac:dyDescent="0.15">
      <c r="A177" s="33"/>
      <c r="B177" s="33"/>
      <c r="C177" s="34"/>
      <c r="D177" s="199"/>
      <c r="E177" s="200"/>
      <c r="F177" s="201"/>
      <c r="G177" s="202">
        <f>SUM(G175:H176)</f>
        <v>373378.25700000004</v>
      </c>
      <c r="H177" s="203"/>
    </row>
    <row r="178" spans="1:8" s="48" customFormat="1" x14ac:dyDescent="0.15">
      <c r="A178" s="33"/>
      <c r="B178" s="33"/>
      <c r="C178" s="34"/>
      <c r="D178" s="195" t="s">
        <v>54</v>
      </c>
      <c r="E178" s="195"/>
      <c r="F178" s="195"/>
      <c r="G178" s="202">
        <f>ROUND((G177*1.2-G177),2)</f>
        <v>74675.649999999994</v>
      </c>
      <c r="H178" s="203"/>
    </row>
    <row r="179" spans="1:8" s="48" customFormat="1" x14ac:dyDescent="0.15">
      <c r="A179" s="33"/>
      <c r="B179" s="33"/>
      <c r="C179" s="34"/>
      <c r="D179" s="195" t="s">
        <v>55</v>
      </c>
      <c r="E179" s="195"/>
      <c r="F179" s="195"/>
      <c r="G179" s="202">
        <f>SUM(G177:H178)</f>
        <v>448053.90700000001</v>
      </c>
      <c r="H179" s="203"/>
    </row>
  </sheetData>
  <mergeCells count="31">
    <mergeCell ref="G173:H173"/>
    <mergeCell ref="G172:H172"/>
    <mergeCell ref="G171:H171"/>
    <mergeCell ref="G170:H170"/>
    <mergeCell ref="G169:H169"/>
    <mergeCell ref="G179:H179"/>
    <mergeCell ref="G178:H178"/>
    <mergeCell ref="G177:H177"/>
    <mergeCell ref="G176:H176"/>
    <mergeCell ref="G175:H175"/>
    <mergeCell ref="A162:F162"/>
    <mergeCell ref="A164:F164"/>
    <mergeCell ref="A165:F165"/>
    <mergeCell ref="G166:H166"/>
    <mergeCell ref="A167:F167"/>
    <mergeCell ref="G167:H167"/>
    <mergeCell ref="G165:H165"/>
    <mergeCell ref="G164:H164"/>
    <mergeCell ref="A168:F168"/>
    <mergeCell ref="G168:H168"/>
    <mergeCell ref="A166:F166"/>
    <mergeCell ref="A169:F169"/>
    <mergeCell ref="A170:F170"/>
    <mergeCell ref="A171:F171"/>
    <mergeCell ref="A172:F172"/>
    <mergeCell ref="A173:F173"/>
    <mergeCell ref="D175:F175"/>
    <mergeCell ref="D179:F179"/>
    <mergeCell ref="D176:F176"/>
    <mergeCell ref="D177:F177"/>
    <mergeCell ref="D178:F17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&amp;L&amp;"-,Paks"&amp;K01+049Teetööde tehniline kirjeldus
Versioon 15.12.2015&amp;"-,Harilik"&amp;K01+000
&amp;R&amp;"-,Paks"&amp;K01+049Maanteeameti peadirektori 
xx.xx.xx käskkiri nr xx
</oddHeader>
    <oddFooter>&amp;L&amp;D&amp;R&amp;N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5"/>
  <sheetViews>
    <sheetView topLeftCell="B1" workbookViewId="0">
      <selection activeCell="H22" sqref="H22"/>
    </sheetView>
  </sheetViews>
  <sheetFormatPr baseColWidth="10" defaultColWidth="8.83203125" defaultRowHeight="15" x14ac:dyDescent="0.2"/>
  <cols>
    <col min="2" max="2" width="24.33203125" customWidth="1"/>
    <col min="3" max="3" width="42.5" bestFit="1" customWidth="1"/>
    <col min="4" max="4" width="15.6640625" bestFit="1" customWidth="1"/>
    <col min="5" max="5" width="18.33203125" bestFit="1" customWidth="1"/>
    <col min="6" max="6" width="11.1640625" customWidth="1"/>
    <col min="10" max="10" width="22.5" customWidth="1"/>
    <col min="11" max="11" width="44.5" bestFit="1" customWidth="1"/>
    <col min="12" max="12" width="15.6640625" bestFit="1" customWidth="1"/>
    <col min="13" max="13" width="18.33203125" bestFit="1" customWidth="1"/>
    <col min="14" max="14" width="11.5" bestFit="1" customWidth="1"/>
    <col min="16" max="16" width="3.5" customWidth="1"/>
  </cols>
  <sheetData>
    <row r="2" spans="2:16" ht="16" thickBot="1" x14ac:dyDescent="0.25">
      <c r="H2" s="97"/>
    </row>
    <row r="3" spans="2:16" ht="20" thickBot="1" x14ac:dyDescent="0.3">
      <c r="B3" s="190" t="s">
        <v>324</v>
      </c>
      <c r="D3" s="121" t="s">
        <v>186</v>
      </c>
      <c r="E3" s="122">
        <f>F41+F22</f>
        <v>34231.150111111114</v>
      </c>
      <c r="F3" s="123" t="s">
        <v>187</v>
      </c>
      <c r="G3" s="120"/>
      <c r="H3" s="119"/>
      <c r="I3" s="120"/>
      <c r="J3" s="191" t="s">
        <v>325</v>
      </c>
      <c r="K3" s="120"/>
      <c r="L3" s="121" t="s">
        <v>186</v>
      </c>
      <c r="M3" s="122">
        <f>SUM(N5:N8)</f>
        <v>34349.573199999999</v>
      </c>
      <c r="N3" s="123" t="s">
        <v>187</v>
      </c>
      <c r="O3" s="120"/>
    </row>
    <row r="4" spans="2:16" ht="16" thickBot="1" x14ac:dyDescent="0.25">
      <c r="B4" s="99" t="s">
        <v>188</v>
      </c>
      <c r="C4" s="100" t="s">
        <v>189</v>
      </c>
      <c r="D4" s="124" t="s">
        <v>190</v>
      </c>
      <c r="E4" s="118" t="s">
        <v>191</v>
      </c>
      <c r="F4" s="101" t="s">
        <v>192</v>
      </c>
      <c r="G4" s="120"/>
      <c r="H4" s="119"/>
      <c r="I4" s="120"/>
      <c r="J4" s="125" t="s">
        <v>193</v>
      </c>
      <c r="K4" s="126" t="s">
        <v>194</v>
      </c>
      <c r="L4" s="124" t="s">
        <v>190</v>
      </c>
      <c r="M4" s="118" t="s">
        <v>195</v>
      </c>
      <c r="N4" s="124" t="s">
        <v>192</v>
      </c>
      <c r="O4" s="101" t="s">
        <v>196</v>
      </c>
    </row>
    <row r="5" spans="2:16" x14ac:dyDescent="0.2">
      <c r="B5" s="102" t="s">
        <v>197</v>
      </c>
      <c r="C5" s="103" t="s">
        <v>198</v>
      </c>
      <c r="D5" s="115">
        <v>32.4</v>
      </c>
      <c r="E5" s="127">
        <v>0.5</v>
      </c>
      <c r="F5" s="128">
        <f t="shared" ref="F5:F11" si="0">E5*D5</f>
        <v>16.2</v>
      </c>
      <c r="G5" s="120"/>
      <c r="H5" s="119"/>
      <c r="I5" s="120"/>
      <c r="J5" s="108" t="s">
        <v>199</v>
      </c>
      <c r="K5" s="205" t="s">
        <v>200</v>
      </c>
      <c r="L5" s="129">
        <f>N21</f>
        <v>1077.5156000000002</v>
      </c>
      <c r="M5" s="109">
        <v>11</v>
      </c>
      <c r="N5" s="130">
        <f>L5*M5</f>
        <v>11852.671600000001</v>
      </c>
      <c r="O5" s="131">
        <f>L70*M5</f>
        <v>25.299999999999997</v>
      </c>
    </row>
    <row r="6" spans="2:16" x14ac:dyDescent="0.2">
      <c r="B6" s="104" t="s">
        <v>201</v>
      </c>
      <c r="C6" s="105" t="s">
        <v>202</v>
      </c>
      <c r="D6" s="108">
        <v>33.5</v>
      </c>
      <c r="E6" s="132">
        <v>1</v>
      </c>
      <c r="F6" s="131">
        <f>E6*D6</f>
        <v>33.5</v>
      </c>
      <c r="G6" s="120"/>
      <c r="H6" s="120"/>
      <c r="I6" s="120"/>
      <c r="J6" s="108" t="s">
        <v>203</v>
      </c>
      <c r="K6" s="205"/>
      <c r="L6" s="129">
        <f>N35</f>
        <v>1755.9908</v>
      </c>
      <c r="M6" s="109">
        <v>8</v>
      </c>
      <c r="N6" s="130">
        <f t="shared" ref="N6:N8" si="1">L6*M6</f>
        <v>14047.9264</v>
      </c>
      <c r="O6" s="131">
        <f>$L$78*M6</f>
        <v>18.8</v>
      </c>
    </row>
    <row r="7" spans="2:16" x14ac:dyDescent="0.2">
      <c r="B7" s="104" t="s">
        <v>204</v>
      </c>
      <c r="C7" s="105" t="s">
        <v>205</v>
      </c>
      <c r="D7" s="108">
        <v>30</v>
      </c>
      <c r="E7" s="132">
        <v>1</v>
      </c>
      <c r="F7" s="131">
        <f>E7*D7</f>
        <v>30</v>
      </c>
      <c r="G7" s="120"/>
      <c r="H7" s="120"/>
      <c r="I7" s="120"/>
      <c r="J7" s="108" t="s">
        <v>206</v>
      </c>
      <c r="K7" s="205"/>
      <c r="L7" s="129">
        <f>N50</f>
        <v>1963.6208000000001</v>
      </c>
      <c r="M7" s="109">
        <v>4</v>
      </c>
      <c r="N7" s="130">
        <f t="shared" si="1"/>
        <v>7854.4832000000006</v>
      </c>
      <c r="O7" s="131">
        <f>$L$78*M7</f>
        <v>9.4</v>
      </c>
    </row>
    <row r="8" spans="2:16" ht="16" thickBot="1" x14ac:dyDescent="0.25">
      <c r="B8" s="104" t="s">
        <v>207</v>
      </c>
      <c r="C8" s="105" t="s">
        <v>208</v>
      </c>
      <c r="D8" s="108">
        <f>(7.05/100+2.7*2/100+2.81/100)</f>
        <v>0.15260000000000001</v>
      </c>
      <c r="E8" s="132">
        <v>20</v>
      </c>
      <c r="F8" s="133">
        <f t="shared" si="0"/>
        <v>3.0520000000000005</v>
      </c>
      <c r="G8" s="120"/>
      <c r="H8" s="120"/>
      <c r="I8" s="120"/>
      <c r="J8" s="110" t="s">
        <v>209</v>
      </c>
      <c r="K8" s="134" t="s">
        <v>210</v>
      </c>
      <c r="L8" s="135">
        <f>N58</f>
        <v>594.49200000000008</v>
      </c>
      <c r="M8" s="111">
        <v>1</v>
      </c>
      <c r="N8" s="136">
        <f t="shared" si="1"/>
        <v>594.49200000000008</v>
      </c>
      <c r="O8" s="137" t="s">
        <v>23</v>
      </c>
    </row>
    <row r="9" spans="2:16" ht="16" thickBot="1" x14ac:dyDescent="0.25">
      <c r="B9" s="104" t="s">
        <v>211</v>
      </c>
      <c r="C9" s="105" t="s">
        <v>208</v>
      </c>
      <c r="D9" s="108">
        <f>19.94/5+47.91*2/100+20.48*2/100</f>
        <v>5.3558000000000003</v>
      </c>
      <c r="E9" s="132">
        <v>1</v>
      </c>
      <c r="F9" s="133">
        <f t="shared" si="0"/>
        <v>5.3558000000000003</v>
      </c>
      <c r="G9" s="120"/>
      <c r="H9" s="120"/>
      <c r="I9" s="120"/>
      <c r="J9" s="120"/>
      <c r="K9" s="120"/>
      <c r="L9" s="120"/>
      <c r="M9" s="120"/>
      <c r="N9" s="120"/>
      <c r="O9" s="138">
        <f>SUM(O5:O7)</f>
        <v>53.499999999999993</v>
      </c>
      <c r="P9" s="107"/>
    </row>
    <row r="10" spans="2:16" x14ac:dyDescent="0.2">
      <c r="B10" s="108" t="s">
        <v>212</v>
      </c>
      <c r="C10" s="109" t="s">
        <v>213</v>
      </c>
      <c r="D10" s="130">
        <f>4.07/100+0.2*3</f>
        <v>0.64070000000000005</v>
      </c>
      <c r="E10" s="132">
        <v>6</v>
      </c>
      <c r="F10" s="133">
        <f t="shared" si="0"/>
        <v>3.8442000000000003</v>
      </c>
      <c r="G10" s="120"/>
      <c r="H10" s="120"/>
      <c r="I10" s="120"/>
      <c r="J10" s="109" t="s">
        <v>214</v>
      </c>
      <c r="K10" s="120"/>
      <c r="L10" s="120"/>
      <c r="M10" s="120"/>
      <c r="N10" s="120"/>
      <c r="O10" s="120"/>
    </row>
    <row r="11" spans="2:16" x14ac:dyDescent="0.2">
      <c r="B11" s="108" t="s">
        <v>215</v>
      </c>
      <c r="C11" s="109" t="s">
        <v>213</v>
      </c>
      <c r="D11" s="108">
        <f>0.5984+0.4</f>
        <v>0.99840000000000007</v>
      </c>
      <c r="E11" s="132">
        <v>4</v>
      </c>
      <c r="F11" s="133">
        <f t="shared" si="0"/>
        <v>3.9936000000000003</v>
      </c>
      <c r="G11" s="120"/>
      <c r="H11" s="120"/>
      <c r="I11" s="120"/>
      <c r="J11" s="120"/>
      <c r="K11" s="120"/>
      <c r="L11" s="120"/>
      <c r="M11" s="120"/>
      <c r="N11" s="120"/>
      <c r="O11" s="120"/>
    </row>
    <row r="12" spans="2:16" ht="16" thickBot="1" x14ac:dyDescent="0.25">
      <c r="B12" s="104" t="s">
        <v>216</v>
      </c>
      <c r="C12" s="109" t="s">
        <v>217</v>
      </c>
      <c r="D12" s="108">
        <v>3</v>
      </c>
      <c r="E12" s="132">
        <v>20</v>
      </c>
      <c r="F12" s="131">
        <f>E12*D12</f>
        <v>60</v>
      </c>
      <c r="G12" s="120"/>
      <c r="H12" s="120"/>
      <c r="I12" s="120"/>
      <c r="J12" s="120" t="s">
        <v>218</v>
      </c>
      <c r="K12" s="120"/>
      <c r="L12" s="120"/>
      <c r="M12" s="120"/>
      <c r="N12" s="120"/>
      <c r="O12" s="120"/>
    </row>
    <row r="13" spans="2:16" ht="16" thickBot="1" x14ac:dyDescent="0.25">
      <c r="B13" s="110" t="s">
        <v>219</v>
      </c>
      <c r="C13" s="111" t="s">
        <v>220</v>
      </c>
      <c r="D13" s="110">
        <v>90.6</v>
      </c>
      <c r="E13" s="134">
        <v>1</v>
      </c>
      <c r="F13" s="139">
        <f>E13*D13</f>
        <v>90.6</v>
      </c>
      <c r="G13" s="120"/>
      <c r="H13" s="120"/>
      <c r="I13" s="120"/>
      <c r="J13" s="124" t="s">
        <v>188</v>
      </c>
      <c r="K13" s="140" t="s">
        <v>189</v>
      </c>
      <c r="L13" s="124" t="s">
        <v>221</v>
      </c>
      <c r="M13" s="118" t="s">
        <v>191</v>
      </c>
      <c r="N13" s="101" t="s">
        <v>192</v>
      </c>
      <c r="O13" s="120"/>
    </row>
    <row r="14" spans="2:16" x14ac:dyDescent="0.2">
      <c r="B14" s="104" t="s">
        <v>222</v>
      </c>
      <c r="D14" s="108"/>
      <c r="E14" s="132"/>
      <c r="F14" s="131"/>
      <c r="G14" s="120"/>
      <c r="H14" s="120"/>
      <c r="I14" s="120"/>
      <c r="J14" s="108" t="s">
        <v>219</v>
      </c>
      <c r="K14" s="109" t="s">
        <v>220</v>
      </c>
      <c r="L14" s="108">
        <v>90.6</v>
      </c>
      <c r="M14" s="109">
        <v>4</v>
      </c>
      <c r="N14" s="131">
        <f>L14*M14</f>
        <v>362.4</v>
      </c>
      <c r="O14" s="120"/>
    </row>
    <row r="15" spans="2:16" x14ac:dyDescent="0.2">
      <c r="B15" s="104" t="s">
        <v>223</v>
      </c>
      <c r="C15" s="109" t="s">
        <v>224</v>
      </c>
      <c r="D15" s="108">
        <v>0.1</v>
      </c>
      <c r="E15" s="132">
        <v>31</v>
      </c>
      <c r="F15" s="131">
        <f>E15*D15</f>
        <v>3.1</v>
      </c>
      <c r="G15" s="120"/>
      <c r="H15" s="120"/>
      <c r="I15" s="120"/>
      <c r="J15" s="108" t="s">
        <v>225</v>
      </c>
      <c r="K15" s="109" t="s">
        <v>226</v>
      </c>
      <c r="L15" s="130">
        <f>(5.67*2+4.88+7.05)/100</f>
        <v>0.23269999999999999</v>
      </c>
      <c r="M15" s="109">
        <f>4+M14*6</f>
        <v>28</v>
      </c>
      <c r="N15" s="131">
        <f>L15*M15</f>
        <v>6.5156000000000001</v>
      </c>
      <c r="O15" s="120"/>
    </row>
    <row r="16" spans="2:16" x14ac:dyDescent="0.2">
      <c r="B16" s="104" t="s">
        <v>227</v>
      </c>
      <c r="C16" s="109" t="s">
        <v>228</v>
      </c>
      <c r="D16" s="108">
        <v>40</v>
      </c>
      <c r="E16" s="132">
        <v>1</v>
      </c>
      <c r="F16" s="131">
        <f>E16*D16</f>
        <v>40</v>
      </c>
      <c r="G16" s="120"/>
      <c r="H16" s="120"/>
      <c r="I16" s="120"/>
      <c r="J16" s="108" t="s">
        <v>229</v>
      </c>
      <c r="K16" s="109" t="s">
        <v>217</v>
      </c>
      <c r="L16" s="108">
        <v>3</v>
      </c>
      <c r="M16" s="109">
        <v>128</v>
      </c>
      <c r="N16" s="131">
        <f>L16*M16</f>
        <v>384</v>
      </c>
      <c r="O16" s="120"/>
    </row>
    <row r="17" spans="2:15" x14ac:dyDescent="0.2">
      <c r="B17" s="104" t="s">
        <v>230</v>
      </c>
      <c r="C17" s="109" t="s">
        <v>217</v>
      </c>
      <c r="D17" s="108">
        <v>0.4</v>
      </c>
      <c r="E17" s="132">
        <v>78</v>
      </c>
      <c r="F17" s="131">
        <f>E17*D17</f>
        <v>31.200000000000003</v>
      </c>
      <c r="G17" s="120"/>
      <c r="H17" s="120"/>
      <c r="I17" s="120"/>
      <c r="J17" s="108" t="s">
        <v>222</v>
      </c>
      <c r="K17" s="109"/>
      <c r="L17" s="108"/>
      <c r="M17" s="109"/>
      <c r="N17" s="131"/>
      <c r="O17" s="120"/>
    </row>
    <row r="18" spans="2:15" x14ac:dyDescent="0.2">
      <c r="B18" s="104" t="s">
        <v>231</v>
      </c>
      <c r="C18" s="109" t="s">
        <v>217</v>
      </c>
      <c r="D18" s="108">
        <v>0.7</v>
      </c>
      <c r="E18" s="132">
        <v>78</v>
      </c>
      <c r="F18" s="131">
        <f>E18*D18</f>
        <v>54.599999999999994</v>
      </c>
      <c r="G18" s="120"/>
      <c r="H18" s="120"/>
      <c r="I18" s="120"/>
      <c r="J18" s="108" t="s">
        <v>227</v>
      </c>
      <c r="K18" s="109" t="s">
        <v>232</v>
      </c>
      <c r="L18" s="108">
        <v>40</v>
      </c>
      <c r="M18" s="109">
        <v>4</v>
      </c>
      <c r="N18" s="131">
        <f>L18*M18</f>
        <v>160</v>
      </c>
      <c r="O18" s="120"/>
    </row>
    <row r="19" spans="2:15" ht="16" thickBot="1" x14ac:dyDescent="0.25">
      <c r="B19" s="106" t="s">
        <v>233</v>
      </c>
      <c r="C19" s="111" t="s">
        <v>234</v>
      </c>
      <c r="D19" s="110">
        <v>8</v>
      </c>
      <c r="E19" s="134">
        <v>6</v>
      </c>
      <c r="F19" s="139">
        <f>E19*D19</f>
        <v>48</v>
      </c>
      <c r="G19" s="120"/>
      <c r="H19" s="120"/>
      <c r="I19" s="120"/>
      <c r="J19" s="108" t="s">
        <v>231</v>
      </c>
      <c r="K19" s="109" t="s">
        <v>217</v>
      </c>
      <c r="L19" s="108">
        <v>0.7</v>
      </c>
      <c r="M19" s="109">
        <v>128</v>
      </c>
      <c r="N19" s="131">
        <f>L19*M19</f>
        <v>89.6</v>
      </c>
      <c r="O19" s="120"/>
    </row>
    <row r="20" spans="2:15" ht="16" thickBot="1" x14ac:dyDescent="0.25">
      <c r="B20" t="s">
        <v>235</v>
      </c>
      <c r="D20" s="120"/>
      <c r="E20" s="121" t="s">
        <v>236</v>
      </c>
      <c r="F20" s="141">
        <f>SUM(F5:F19)</f>
        <v>423.44560000000001</v>
      </c>
      <c r="G20" s="120"/>
      <c r="H20" s="120"/>
      <c r="I20" s="120"/>
      <c r="J20" s="110" t="s">
        <v>237</v>
      </c>
      <c r="K20" s="111" t="s">
        <v>238</v>
      </c>
      <c r="L20" s="110">
        <v>25</v>
      </c>
      <c r="M20" s="111">
        <v>3</v>
      </c>
      <c r="N20" s="139">
        <f>L20*M20</f>
        <v>75</v>
      </c>
      <c r="O20" s="120"/>
    </row>
    <row r="21" spans="2:15" ht="16" thickBot="1" x14ac:dyDescent="0.25">
      <c r="D21" s="120"/>
      <c r="E21" s="120"/>
      <c r="F21" s="120"/>
      <c r="G21" s="120"/>
      <c r="H21" s="120"/>
      <c r="I21" s="120"/>
      <c r="J21" s="120"/>
      <c r="K21" s="120"/>
      <c r="L21" s="120"/>
      <c r="M21" s="121" t="s">
        <v>236</v>
      </c>
      <c r="N21" s="141">
        <f>SUM(N14:N20)</f>
        <v>1077.5156000000002</v>
      </c>
      <c r="O21" s="120"/>
    </row>
    <row r="22" spans="2:15" ht="16" thickBot="1" x14ac:dyDescent="0.25">
      <c r="B22" s="98" t="s">
        <v>239</v>
      </c>
      <c r="C22" s="112" t="s">
        <v>240</v>
      </c>
      <c r="D22" s="142">
        <f>F20</f>
        <v>423.44560000000001</v>
      </c>
      <c r="E22" s="143">
        <v>75</v>
      </c>
      <c r="F22" s="141">
        <f>D22*E22</f>
        <v>31758.420000000002</v>
      </c>
      <c r="G22" s="120"/>
      <c r="H22" s="120"/>
      <c r="I22" s="120"/>
      <c r="J22" s="120"/>
      <c r="K22" s="120"/>
      <c r="L22" s="120"/>
      <c r="M22" s="120"/>
      <c r="N22" s="120"/>
      <c r="O22" s="120"/>
    </row>
    <row r="23" spans="2:15" ht="16" thickBot="1" x14ac:dyDescent="0.25">
      <c r="D23" s="120"/>
      <c r="E23" s="120"/>
      <c r="F23" s="120"/>
      <c r="G23" s="120"/>
      <c r="H23" s="120"/>
      <c r="I23" s="120"/>
      <c r="J23" s="120" t="s">
        <v>241</v>
      </c>
      <c r="K23" s="120"/>
      <c r="L23" s="120"/>
      <c r="M23" s="120"/>
      <c r="N23" s="120"/>
      <c r="O23" s="120"/>
    </row>
    <row r="24" spans="2:15" ht="16" thickBot="1" x14ac:dyDescent="0.25">
      <c r="B24" t="s">
        <v>242</v>
      </c>
      <c r="D24" s="120"/>
      <c r="E24" s="120"/>
      <c r="F24" s="120"/>
      <c r="G24" s="120"/>
      <c r="H24" s="120"/>
      <c r="I24" s="120"/>
      <c r="J24" s="115" t="s">
        <v>219</v>
      </c>
      <c r="K24" s="117" t="s">
        <v>220</v>
      </c>
      <c r="L24" s="115">
        <v>90.6</v>
      </c>
      <c r="M24" s="117">
        <v>3</v>
      </c>
      <c r="N24" s="128">
        <f>L24*M24</f>
        <v>271.79999999999995</v>
      </c>
      <c r="O24" s="120"/>
    </row>
    <row r="25" spans="2:15" x14ac:dyDescent="0.2">
      <c r="B25" s="102" t="s">
        <v>243</v>
      </c>
      <c r="C25" s="113" t="s">
        <v>244</v>
      </c>
      <c r="D25" s="115">
        <v>2.0099999999999998</v>
      </c>
      <c r="E25" s="117">
        <v>8.35</v>
      </c>
      <c r="F25" s="144">
        <f>D25*E25</f>
        <v>16.783499999999997</v>
      </c>
      <c r="G25" s="120"/>
      <c r="H25" s="120"/>
      <c r="I25" s="120"/>
      <c r="J25" s="108" t="s">
        <v>225</v>
      </c>
      <c r="K25" s="109" t="s">
        <v>226</v>
      </c>
      <c r="L25" s="130">
        <f>(5.67*2+4.88+7.05)/100</f>
        <v>0.23269999999999999</v>
      </c>
      <c r="M25" s="109">
        <f>4+M24*6</f>
        <v>22</v>
      </c>
      <c r="N25" s="133">
        <f t="shared" ref="N25:N34" si="2">L25*M25</f>
        <v>5.1193999999999997</v>
      </c>
      <c r="O25" s="120"/>
    </row>
    <row r="26" spans="2:15" x14ac:dyDescent="0.2">
      <c r="B26" s="104" t="s">
        <v>245</v>
      </c>
      <c r="C26" s="105" t="s">
        <v>246</v>
      </c>
      <c r="D26" s="108">
        <v>2.08</v>
      </c>
      <c r="E26" s="109">
        <v>8</v>
      </c>
      <c r="F26" s="131">
        <f t="shared" ref="F26" si="3">D26*E26</f>
        <v>16.64</v>
      </c>
      <c r="G26" s="120"/>
      <c r="H26" s="120"/>
      <c r="I26" s="120"/>
      <c r="J26" s="108" t="s">
        <v>229</v>
      </c>
      <c r="K26" s="114" t="s">
        <v>217</v>
      </c>
      <c r="L26" s="108"/>
      <c r="M26" s="109"/>
      <c r="N26" s="131">
        <f t="shared" si="2"/>
        <v>0</v>
      </c>
      <c r="O26" s="120"/>
    </row>
    <row r="27" spans="2:15" x14ac:dyDescent="0.2">
      <c r="B27" s="104" t="s">
        <v>247</v>
      </c>
      <c r="C27" s="105" t="s">
        <v>248</v>
      </c>
      <c r="D27" s="130">
        <f>17.76/(6*9)</f>
        <v>0.3288888888888889</v>
      </c>
      <c r="E27" s="109">
        <v>5</v>
      </c>
      <c r="F27" s="133">
        <f>E27*D27</f>
        <v>1.6444444444444444</v>
      </c>
      <c r="G27" s="120"/>
      <c r="H27" s="120"/>
      <c r="I27" s="120"/>
      <c r="J27" s="108" t="s">
        <v>249</v>
      </c>
      <c r="K27" s="114"/>
      <c r="L27" s="108">
        <v>3</v>
      </c>
      <c r="M27" s="109">
        <v>300</v>
      </c>
      <c r="N27" s="131">
        <f t="shared" si="2"/>
        <v>900</v>
      </c>
      <c r="O27" s="120"/>
    </row>
    <row r="28" spans="2:15" x14ac:dyDescent="0.2">
      <c r="B28" s="104" t="s">
        <v>222</v>
      </c>
      <c r="C28" s="105"/>
      <c r="D28" s="108"/>
      <c r="E28" s="109"/>
      <c r="F28" s="131"/>
      <c r="G28" s="120"/>
      <c r="H28" s="120"/>
      <c r="I28" s="120"/>
      <c r="J28" s="108" t="s">
        <v>250</v>
      </c>
      <c r="K28" s="114"/>
      <c r="L28" s="108"/>
      <c r="M28" s="109"/>
      <c r="N28" s="131">
        <f t="shared" si="2"/>
        <v>0</v>
      </c>
      <c r="O28" s="120"/>
    </row>
    <row r="29" spans="2:15" x14ac:dyDescent="0.2">
      <c r="B29" s="104" t="s">
        <v>251</v>
      </c>
      <c r="C29" s="105" t="s">
        <v>252</v>
      </c>
      <c r="D29" s="108">
        <v>0.2</v>
      </c>
      <c r="E29" s="109">
        <v>8</v>
      </c>
      <c r="F29" s="131">
        <f>D29*E29</f>
        <v>1.6</v>
      </c>
      <c r="G29" s="120"/>
      <c r="H29" s="120"/>
      <c r="I29" s="120"/>
      <c r="J29" s="108" t="s">
        <v>253</v>
      </c>
      <c r="K29" s="109" t="s">
        <v>254</v>
      </c>
      <c r="L29" s="130">
        <f>(3.64+5.09)/100</f>
        <v>8.7300000000000003E-2</v>
      </c>
      <c r="M29" s="109">
        <v>18</v>
      </c>
      <c r="N29" s="133">
        <f t="shared" si="2"/>
        <v>1.5714000000000001</v>
      </c>
      <c r="O29" s="120"/>
    </row>
    <row r="30" spans="2:15" x14ac:dyDescent="0.2">
      <c r="B30" s="104" t="s">
        <v>255</v>
      </c>
      <c r="C30" s="109" t="s">
        <v>234</v>
      </c>
      <c r="D30" s="108">
        <v>10</v>
      </c>
      <c r="E30" s="109">
        <v>0.1</v>
      </c>
      <c r="F30" s="131">
        <f t="shared" ref="F30:F31" si="4">D30*E30</f>
        <v>1</v>
      </c>
      <c r="G30" s="120"/>
      <c r="H30" s="120"/>
      <c r="I30" s="120"/>
      <c r="J30" s="108" t="s">
        <v>222</v>
      </c>
      <c r="K30" s="109"/>
      <c r="L30" s="108"/>
      <c r="M30" s="109"/>
      <c r="N30" s="131"/>
      <c r="O30" s="120"/>
    </row>
    <row r="31" spans="2:15" ht="16" thickBot="1" x14ac:dyDescent="0.25">
      <c r="B31" s="106" t="s">
        <v>227</v>
      </c>
      <c r="C31" s="111" t="s">
        <v>232</v>
      </c>
      <c r="D31" s="110">
        <v>40</v>
      </c>
      <c r="E31" s="111">
        <v>0.5</v>
      </c>
      <c r="F31" s="139">
        <f t="shared" si="4"/>
        <v>20</v>
      </c>
      <c r="G31" s="120"/>
      <c r="H31" s="120"/>
      <c r="I31" s="120"/>
      <c r="J31" s="108" t="s">
        <v>256</v>
      </c>
      <c r="K31" s="109" t="s">
        <v>224</v>
      </c>
      <c r="L31" s="108">
        <v>0.1</v>
      </c>
      <c r="M31" s="109">
        <v>25</v>
      </c>
      <c r="N31" s="131">
        <f t="shared" si="2"/>
        <v>2.5</v>
      </c>
      <c r="O31" s="120"/>
    </row>
    <row r="32" spans="2:15" ht="16" thickBot="1" x14ac:dyDescent="0.25">
      <c r="D32" s="120"/>
      <c r="E32" s="139" t="s">
        <v>236</v>
      </c>
      <c r="F32" s="145">
        <f>SUM(F25:F31)</f>
        <v>57.667944444444444</v>
      </c>
      <c r="G32" s="120"/>
      <c r="H32" s="120"/>
      <c r="I32" s="120"/>
      <c r="J32" s="108" t="s">
        <v>227</v>
      </c>
      <c r="K32" s="109" t="s">
        <v>232</v>
      </c>
      <c r="L32" s="108">
        <v>40</v>
      </c>
      <c r="M32" s="109">
        <v>6</v>
      </c>
      <c r="N32" s="131">
        <f t="shared" si="2"/>
        <v>240</v>
      </c>
      <c r="O32" s="120"/>
    </row>
    <row r="33" spans="2:15" x14ac:dyDescent="0.2">
      <c r="D33" s="120"/>
      <c r="E33" s="120"/>
      <c r="F33" s="120"/>
      <c r="G33" s="120"/>
      <c r="H33" s="120"/>
      <c r="I33" s="120"/>
      <c r="J33" s="108" t="s">
        <v>231</v>
      </c>
      <c r="K33" s="109" t="s">
        <v>217</v>
      </c>
      <c r="L33" s="108">
        <v>0.7</v>
      </c>
      <c r="M33" s="109">
        <v>300</v>
      </c>
      <c r="N33" s="131">
        <f t="shared" si="2"/>
        <v>210</v>
      </c>
      <c r="O33" s="120"/>
    </row>
    <row r="34" spans="2:15" ht="16" thickBot="1" x14ac:dyDescent="0.25">
      <c r="D34" s="120"/>
      <c r="E34" s="120"/>
      <c r="F34" s="120"/>
      <c r="G34" s="120"/>
      <c r="H34" s="120"/>
      <c r="I34" s="120"/>
      <c r="J34" s="110" t="s">
        <v>237</v>
      </c>
      <c r="K34" s="111" t="s">
        <v>257</v>
      </c>
      <c r="L34" s="110">
        <v>25</v>
      </c>
      <c r="M34" s="111">
        <v>5</v>
      </c>
      <c r="N34" s="139">
        <f t="shared" si="2"/>
        <v>125</v>
      </c>
      <c r="O34" s="120"/>
    </row>
    <row r="35" spans="2:15" ht="16" thickBot="1" x14ac:dyDescent="0.25">
      <c r="B35" t="s">
        <v>258</v>
      </c>
      <c r="C35" t="s">
        <v>259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46" t="s">
        <v>236</v>
      </c>
      <c r="N35" s="145">
        <f>SUM(N24:N34)</f>
        <v>1755.9908</v>
      </c>
      <c r="O35" s="120"/>
    </row>
    <row r="36" spans="2:15" x14ac:dyDescent="0.2">
      <c r="B36" s="102" t="s">
        <v>260</v>
      </c>
      <c r="C36" s="113" t="s">
        <v>261</v>
      </c>
      <c r="D36" s="115">
        <f>27.84/6</f>
        <v>4.6399999999999997</v>
      </c>
      <c r="E36" s="127">
        <v>42</v>
      </c>
      <c r="F36" s="128">
        <f>D36*E36</f>
        <v>194.88</v>
      </c>
      <c r="G36" s="120"/>
      <c r="H36" s="120"/>
      <c r="I36" s="120"/>
      <c r="J36" s="120"/>
      <c r="K36" s="120"/>
      <c r="L36" s="120"/>
      <c r="M36" s="120"/>
      <c r="N36" s="120"/>
      <c r="O36" s="120"/>
    </row>
    <row r="37" spans="2:15" ht="16" thickBot="1" x14ac:dyDescent="0.25">
      <c r="B37" s="104" t="s">
        <v>262</v>
      </c>
      <c r="C37" s="105" t="s">
        <v>263</v>
      </c>
      <c r="D37" s="108">
        <f>D36</f>
        <v>4.6399999999999997</v>
      </c>
      <c r="E37" s="132">
        <f>25*1.25+4*2+5*2.35</f>
        <v>51</v>
      </c>
      <c r="F37" s="131">
        <f>D37*E37</f>
        <v>236.64</v>
      </c>
      <c r="G37" s="120"/>
      <c r="H37" s="120"/>
      <c r="I37" s="120"/>
      <c r="J37" s="120" t="s">
        <v>264</v>
      </c>
      <c r="K37" s="120"/>
      <c r="L37" s="120"/>
      <c r="M37" s="120"/>
      <c r="N37" s="120"/>
      <c r="O37" s="120"/>
    </row>
    <row r="38" spans="2:15" ht="16" thickBot="1" x14ac:dyDescent="0.25">
      <c r="B38" s="104" t="s">
        <v>242</v>
      </c>
      <c r="C38" s="105" t="s">
        <v>265</v>
      </c>
      <c r="D38" s="130">
        <f>F32</f>
        <v>57.667944444444444</v>
      </c>
      <c r="E38" s="132">
        <v>34</v>
      </c>
      <c r="F38" s="133">
        <f>D38*E38</f>
        <v>1960.710111111111</v>
      </c>
      <c r="G38" s="120"/>
      <c r="H38" s="120"/>
      <c r="I38" s="120"/>
      <c r="J38" s="115" t="s">
        <v>219</v>
      </c>
      <c r="K38" s="117" t="s">
        <v>220</v>
      </c>
      <c r="L38" s="115">
        <v>90.6</v>
      </c>
      <c r="M38" s="117">
        <v>3</v>
      </c>
      <c r="N38" s="128">
        <f>L38*M38</f>
        <v>271.79999999999995</v>
      </c>
      <c r="O38" s="120"/>
    </row>
    <row r="39" spans="2:15" x14ac:dyDescent="0.2">
      <c r="B39" s="115" t="s">
        <v>222</v>
      </c>
      <c r="C39" s="113"/>
      <c r="D39" s="115"/>
      <c r="E39" s="127"/>
      <c r="F39" s="128"/>
      <c r="G39" s="120"/>
      <c r="H39" s="120"/>
      <c r="I39" s="120"/>
      <c r="J39" s="108" t="s">
        <v>225</v>
      </c>
      <c r="K39" s="109" t="s">
        <v>226</v>
      </c>
      <c r="L39" s="130">
        <f>(5.67*2+4.88+7.05)/100</f>
        <v>0.23269999999999999</v>
      </c>
      <c r="M39" s="109">
        <f>4+M38*6</f>
        <v>22</v>
      </c>
      <c r="N39" s="133">
        <f t="shared" ref="N39:N49" si="5">L39*M39</f>
        <v>5.1193999999999997</v>
      </c>
      <c r="O39" s="120"/>
    </row>
    <row r="40" spans="2:15" ht="16" thickBot="1" x14ac:dyDescent="0.25">
      <c r="B40" s="110" t="s">
        <v>266</v>
      </c>
      <c r="C40" s="116" t="s">
        <v>217</v>
      </c>
      <c r="D40" s="110">
        <v>0.7</v>
      </c>
      <c r="E40" s="134">
        <v>115</v>
      </c>
      <c r="F40" s="139">
        <f>E40*D40</f>
        <v>80.5</v>
      </c>
      <c r="G40" s="120"/>
      <c r="H40" s="120"/>
      <c r="I40" s="120"/>
      <c r="J40" s="108" t="s">
        <v>229</v>
      </c>
      <c r="K40" s="114" t="s">
        <v>217</v>
      </c>
      <c r="L40" s="108"/>
      <c r="M40" s="109"/>
      <c r="N40" s="131">
        <f t="shared" si="5"/>
        <v>0</v>
      </c>
      <c r="O40" s="120"/>
    </row>
    <row r="41" spans="2:15" ht="16" thickBot="1" x14ac:dyDescent="0.25">
      <c r="D41" s="120"/>
      <c r="E41" s="110" t="s">
        <v>236</v>
      </c>
      <c r="F41" s="145">
        <f>SUM(F36:F40)</f>
        <v>2472.730111111111</v>
      </c>
      <c r="G41" s="120"/>
      <c r="H41" s="120"/>
      <c r="I41" s="120"/>
      <c r="J41" s="108" t="s">
        <v>249</v>
      </c>
      <c r="K41" s="114"/>
      <c r="L41" s="108">
        <v>3</v>
      </c>
      <c r="M41" s="109">
        <v>320</v>
      </c>
      <c r="N41" s="131">
        <f t="shared" si="5"/>
        <v>960</v>
      </c>
      <c r="O41" s="120"/>
    </row>
    <row r="42" spans="2:15" x14ac:dyDescent="0.2">
      <c r="D42" s="120"/>
      <c r="E42" s="120"/>
      <c r="F42" s="120"/>
      <c r="G42" s="120"/>
      <c r="H42" s="120"/>
      <c r="I42" s="120"/>
      <c r="J42" s="108" t="s">
        <v>250</v>
      </c>
      <c r="K42" s="114"/>
      <c r="L42" s="108"/>
      <c r="M42" s="109"/>
      <c r="N42" s="131">
        <f t="shared" si="5"/>
        <v>0</v>
      </c>
      <c r="O42" s="120"/>
    </row>
    <row r="43" spans="2:15" ht="16" thickBot="1" x14ac:dyDescent="0.25">
      <c r="B43" t="s">
        <v>267</v>
      </c>
      <c r="D43" s="120"/>
      <c r="E43" s="120"/>
      <c r="F43" s="120"/>
      <c r="G43" s="120"/>
      <c r="H43" s="120"/>
      <c r="I43" s="120"/>
      <c r="J43" s="108" t="s">
        <v>253</v>
      </c>
      <c r="K43" s="109" t="s">
        <v>254</v>
      </c>
      <c r="L43" s="130">
        <f>(3.64+5.09)/100</f>
        <v>8.7300000000000003E-2</v>
      </c>
      <c r="M43" s="109">
        <v>18</v>
      </c>
      <c r="N43" s="133">
        <f t="shared" si="5"/>
        <v>1.5714000000000001</v>
      </c>
      <c r="O43" s="120"/>
    </row>
    <row r="44" spans="2:15" ht="16" thickBot="1" x14ac:dyDescent="0.25">
      <c r="B44" s="99" t="s">
        <v>268</v>
      </c>
      <c r="C44" s="100" t="s">
        <v>269</v>
      </c>
      <c r="D44" s="101" t="s">
        <v>270</v>
      </c>
      <c r="E44" s="118" t="s">
        <v>271</v>
      </c>
      <c r="F44" s="101" t="s">
        <v>192</v>
      </c>
      <c r="G44" s="120"/>
      <c r="H44" s="120"/>
      <c r="I44" s="120"/>
      <c r="J44" s="108" t="s">
        <v>272</v>
      </c>
      <c r="K44" s="109" t="s">
        <v>273</v>
      </c>
      <c r="L44" s="108">
        <f>6.06/6+0.2</f>
        <v>1.21</v>
      </c>
      <c r="M44" s="109">
        <v>3</v>
      </c>
      <c r="N44" s="131">
        <f t="shared" si="5"/>
        <v>3.63</v>
      </c>
      <c r="O44" s="120"/>
    </row>
    <row r="45" spans="2:15" x14ac:dyDescent="0.2">
      <c r="B45" s="104" t="s">
        <v>274</v>
      </c>
      <c r="C45" s="105" t="s">
        <v>275</v>
      </c>
      <c r="D45" s="131">
        <v>0.2</v>
      </c>
      <c r="E45" s="206">
        <v>50</v>
      </c>
      <c r="F45" s="131">
        <f>D45*$E$45</f>
        <v>10</v>
      </c>
      <c r="G45" s="120"/>
      <c r="H45" s="120"/>
      <c r="I45" s="120"/>
      <c r="J45" s="108" t="s">
        <v>222</v>
      </c>
      <c r="K45" s="109"/>
      <c r="L45" s="108"/>
      <c r="M45" s="109"/>
      <c r="N45" s="131">
        <f t="shared" si="5"/>
        <v>0</v>
      </c>
      <c r="O45" s="120"/>
    </row>
    <row r="46" spans="2:15" x14ac:dyDescent="0.2">
      <c r="B46" s="104" t="s">
        <v>219</v>
      </c>
      <c r="C46" s="105" t="s">
        <v>276</v>
      </c>
      <c r="D46" s="131">
        <v>0.2</v>
      </c>
      <c r="E46" s="206"/>
      <c r="F46" s="131">
        <f t="shared" ref="F46:F49" si="6">D46*$E$45</f>
        <v>10</v>
      </c>
      <c r="G46" s="120"/>
      <c r="H46" s="120"/>
      <c r="I46" s="120"/>
      <c r="J46" s="108" t="s">
        <v>256</v>
      </c>
      <c r="K46" s="109" t="s">
        <v>224</v>
      </c>
      <c r="L46" s="108">
        <v>0.1</v>
      </c>
      <c r="M46" s="109">
        <v>25</v>
      </c>
      <c r="N46" s="131">
        <f t="shared" si="5"/>
        <v>2.5</v>
      </c>
      <c r="O46" s="120"/>
    </row>
    <row r="47" spans="2:15" x14ac:dyDescent="0.2">
      <c r="B47" s="104" t="s">
        <v>277</v>
      </c>
      <c r="C47" s="105" t="s">
        <v>278</v>
      </c>
      <c r="D47" s="131">
        <v>0.2</v>
      </c>
      <c r="E47" s="206"/>
      <c r="F47" s="131">
        <f t="shared" si="6"/>
        <v>10</v>
      </c>
      <c r="G47" s="120"/>
      <c r="H47" s="120"/>
      <c r="I47" s="120"/>
      <c r="J47" s="108" t="s">
        <v>227</v>
      </c>
      <c r="K47" s="109" t="s">
        <v>232</v>
      </c>
      <c r="L47" s="108">
        <v>40</v>
      </c>
      <c r="M47" s="109">
        <v>8</v>
      </c>
      <c r="N47" s="131">
        <f t="shared" si="5"/>
        <v>320</v>
      </c>
      <c r="O47" s="120"/>
    </row>
    <row r="48" spans="2:15" x14ac:dyDescent="0.2">
      <c r="B48" s="104" t="s">
        <v>279</v>
      </c>
      <c r="C48" s="105" t="s">
        <v>280</v>
      </c>
      <c r="D48" s="131">
        <v>0.2</v>
      </c>
      <c r="E48" s="206"/>
      <c r="F48" s="131">
        <f t="shared" si="6"/>
        <v>10</v>
      </c>
      <c r="G48" s="120"/>
      <c r="H48" s="120"/>
      <c r="I48" s="120"/>
      <c r="J48" s="108" t="s">
        <v>231</v>
      </c>
      <c r="K48" s="109" t="s">
        <v>217</v>
      </c>
      <c r="L48" s="108">
        <v>0.7</v>
      </c>
      <c r="M48" s="109">
        <v>320</v>
      </c>
      <c r="N48" s="131">
        <f t="shared" si="5"/>
        <v>224</v>
      </c>
      <c r="O48" s="120"/>
    </row>
    <row r="49" spans="2:15" ht="16" thickBot="1" x14ac:dyDescent="0.25">
      <c r="B49" s="106" t="s">
        <v>281</v>
      </c>
      <c r="C49" s="116" t="s">
        <v>282</v>
      </c>
      <c r="D49" s="139">
        <v>0.5</v>
      </c>
      <c r="E49" s="207"/>
      <c r="F49" s="139">
        <f t="shared" si="6"/>
        <v>25</v>
      </c>
      <c r="G49" s="120"/>
      <c r="H49" s="120"/>
      <c r="I49" s="120"/>
      <c r="J49" s="110" t="s">
        <v>237</v>
      </c>
      <c r="K49" s="111" t="s">
        <v>283</v>
      </c>
      <c r="L49" s="110">
        <v>35</v>
      </c>
      <c r="M49" s="111">
        <v>5</v>
      </c>
      <c r="N49" s="139">
        <f t="shared" si="5"/>
        <v>175</v>
      </c>
      <c r="O49" s="120"/>
    </row>
    <row r="50" spans="2:15" ht="16" thickBot="1" x14ac:dyDescent="0.25">
      <c r="D50" s="146">
        <f>SUM(D45:D49)</f>
        <v>1.3</v>
      </c>
      <c r="E50" s="118" t="s">
        <v>236</v>
      </c>
      <c r="F50" s="146">
        <f>SUM(F45:F49)</f>
        <v>65</v>
      </c>
      <c r="G50" s="120"/>
      <c r="H50" s="120"/>
      <c r="I50" s="120"/>
      <c r="J50" s="120"/>
      <c r="K50" s="120"/>
      <c r="L50" s="120"/>
      <c r="M50" s="121" t="s">
        <v>236</v>
      </c>
      <c r="N50" s="147">
        <f>SUM(N38:N49)</f>
        <v>1963.6208000000001</v>
      </c>
      <c r="O50" s="120"/>
    </row>
    <row r="51" spans="2:15" ht="16" thickBot="1" x14ac:dyDescent="0.25"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  <row r="52" spans="2:15" ht="16" thickBot="1" x14ac:dyDescent="0.25">
      <c r="B52" s="102" t="s">
        <v>284</v>
      </c>
      <c r="C52" s="113" t="s">
        <v>285</v>
      </c>
      <c r="D52" s="128">
        <v>0.25</v>
      </c>
      <c r="E52" s="208">
        <v>50</v>
      </c>
      <c r="F52" s="128">
        <f>D52*$E$52</f>
        <v>12.5</v>
      </c>
      <c r="G52" s="120"/>
      <c r="H52" s="120"/>
      <c r="I52" s="120"/>
      <c r="J52" s="120" t="s">
        <v>286</v>
      </c>
      <c r="K52" s="120"/>
      <c r="L52" s="120"/>
      <c r="M52" s="120"/>
      <c r="N52" s="120"/>
      <c r="O52" s="120"/>
    </row>
    <row r="53" spans="2:15" x14ac:dyDescent="0.2">
      <c r="B53" s="104" t="s">
        <v>287</v>
      </c>
      <c r="C53" s="105" t="s">
        <v>288</v>
      </c>
      <c r="D53" s="131">
        <v>0.5</v>
      </c>
      <c r="E53" s="206"/>
      <c r="F53" s="131">
        <f t="shared" ref="F53:F54" si="7">D53*$E$52</f>
        <v>25</v>
      </c>
      <c r="G53" s="120"/>
      <c r="H53" s="120"/>
      <c r="I53" s="120"/>
      <c r="J53" s="115" t="s">
        <v>289</v>
      </c>
      <c r="K53" s="117" t="s">
        <v>290</v>
      </c>
      <c r="L53" s="115">
        <v>1.18</v>
      </c>
      <c r="M53" s="117">
        <v>120</v>
      </c>
      <c r="N53" s="128">
        <f>L53*M53</f>
        <v>141.6</v>
      </c>
      <c r="O53" s="120"/>
    </row>
    <row r="54" spans="2:15" ht="16" thickBot="1" x14ac:dyDescent="0.25">
      <c r="B54" s="106" t="s">
        <v>291</v>
      </c>
      <c r="C54" s="116" t="s">
        <v>292</v>
      </c>
      <c r="D54" s="139">
        <v>0.5</v>
      </c>
      <c r="E54" s="207"/>
      <c r="F54" s="139">
        <f t="shared" si="7"/>
        <v>25</v>
      </c>
      <c r="G54" s="120"/>
      <c r="H54" s="120"/>
      <c r="I54" s="120"/>
      <c r="J54" s="108" t="s">
        <v>293</v>
      </c>
      <c r="K54" s="109" t="s">
        <v>290</v>
      </c>
      <c r="L54" s="108">
        <f>1.18+0.2</f>
        <v>1.38</v>
      </c>
      <c r="M54" s="109">
        <v>250</v>
      </c>
      <c r="N54" s="131">
        <f t="shared" ref="N54" si="8">L54*M54</f>
        <v>345</v>
      </c>
      <c r="O54" s="120"/>
    </row>
    <row r="55" spans="2:15" ht="16" thickBot="1" x14ac:dyDescent="0.25">
      <c r="D55" s="146">
        <f>SUM(D52:D54)</f>
        <v>1.25</v>
      </c>
      <c r="E55" s="118" t="s">
        <v>236</v>
      </c>
      <c r="F55" s="146">
        <f>SUM(F52:F54)</f>
        <v>62.5</v>
      </c>
      <c r="G55" s="120"/>
      <c r="H55" s="120"/>
      <c r="I55" s="120"/>
      <c r="J55" s="110" t="s">
        <v>294</v>
      </c>
      <c r="K55" s="111" t="s">
        <v>295</v>
      </c>
      <c r="L55" s="136">
        <f>2.29/25</f>
        <v>9.1600000000000001E-2</v>
      </c>
      <c r="M55" s="111">
        <f>M53+M54</f>
        <v>370</v>
      </c>
      <c r="N55" s="145">
        <f>L55*M55</f>
        <v>33.892000000000003</v>
      </c>
      <c r="O55" s="120"/>
    </row>
    <row r="56" spans="2:15" x14ac:dyDescent="0.2">
      <c r="D56" s="120"/>
      <c r="E56" s="120"/>
      <c r="F56" s="120"/>
      <c r="G56" s="120"/>
      <c r="H56" s="120"/>
      <c r="I56" s="120"/>
      <c r="J56" s="108" t="s">
        <v>222</v>
      </c>
      <c r="K56" s="109"/>
      <c r="L56" s="108"/>
      <c r="M56" s="109"/>
      <c r="N56" s="131"/>
      <c r="O56" s="120"/>
    </row>
    <row r="57" spans="2:15" ht="16" thickBot="1" x14ac:dyDescent="0.25">
      <c r="D57" s="120" t="s">
        <v>296</v>
      </c>
      <c r="E57" s="120" t="s">
        <v>297</v>
      </c>
      <c r="F57" s="120" t="s">
        <v>192</v>
      </c>
      <c r="G57" s="120" t="s">
        <v>298</v>
      </c>
      <c r="H57" s="120"/>
      <c r="I57" s="120"/>
      <c r="J57" s="110" t="s">
        <v>299</v>
      </c>
      <c r="K57" s="111" t="s">
        <v>300</v>
      </c>
      <c r="L57" s="110">
        <v>0.2</v>
      </c>
      <c r="M57" s="111">
        <f>M55</f>
        <v>370</v>
      </c>
      <c r="N57" s="139">
        <f>L57*M57</f>
        <v>74</v>
      </c>
      <c r="O57" s="120"/>
    </row>
    <row r="58" spans="2:15" ht="16" thickBot="1" x14ac:dyDescent="0.25">
      <c r="B58" s="102" t="s">
        <v>301</v>
      </c>
      <c r="C58" s="113" t="s">
        <v>302</v>
      </c>
      <c r="D58" s="115">
        <f>F50</f>
        <v>65</v>
      </c>
      <c r="E58" s="117">
        <f>E22</f>
        <v>75</v>
      </c>
      <c r="F58" s="128">
        <f>D58*E58</f>
        <v>4875</v>
      </c>
      <c r="G58" s="128">
        <f>D50*E58</f>
        <v>97.5</v>
      </c>
      <c r="H58" s="120"/>
      <c r="I58" s="120"/>
      <c r="J58" s="120"/>
      <c r="K58" s="120"/>
      <c r="L58" s="120"/>
      <c r="M58" s="110" t="s">
        <v>236</v>
      </c>
      <c r="N58" s="145">
        <f>SUM(N53:N57)</f>
        <v>594.49200000000008</v>
      </c>
      <c r="O58" s="120"/>
    </row>
    <row r="59" spans="2:15" ht="16" thickBot="1" x14ac:dyDescent="0.25">
      <c r="B59" s="106" t="s">
        <v>303</v>
      </c>
      <c r="C59" s="116" t="s">
        <v>304</v>
      </c>
      <c r="D59" s="110">
        <f>F55</f>
        <v>62.5</v>
      </c>
      <c r="E59" s="109">
        <f>E36</f>
        <v>42</v>
      </c>
      <c r="F59" s="139">
        <f>D59*E59</f>
        <v>2625</v>
      </c>
      <c r="G59" s="131">
        <f>E59*D55</f>
        <v>52.5</v>
      </c>
      <c r="H59" s="120"/>
      <c r="I59" s="120"/>
      <c r="J59" s="120"/>
      <c r="K59" s="120"/>
      <c r="L59" s="120"/>
      <c r="M59" s="120"/>
      <c r="N59" s="120"/>
      <c r="O59" s="120"/>
    </row>
    <row r="60" spans="2:15" ht="16" thickBot="1" x14ac:dyDescent="0.25">
      <c r="D60" s="120"/>
      <c r="E60" s="101" t="s">
        <v>236</v>
      </c>
      <c r="F60" s="134">
        <f>SUM(F58:F59)</f>
        <v>7500</v>
      </c>
      <c r="G60" s="146">
        <f>G58+G59</f>
        <v>150</v>
      </c>
      <c r="H60" s="120"/>
      <c r="I60" s="120"/>
      <c r="J60" s="120" t="s">
        <v>305</v>
      </c>
      <c r="K60" s="120"/>
      <c r="L60" s="120"/>
      <c r="M60" s="120"/>
      <c r="N60" s="120"/>
      <c r="O60" s="120"/>
    </row>
    <row r="61" spans="2:15" x14ac:dyDescent="0.2">
      <c r="D61" s="120"/>
      <c r="E61" s="120"/>
      <c r="F61" s="120"/>
      <c r="G61" s="120"/>
      <c r="H61" s="120"/>
      <c r="I61" s="120"/>
      <c r="J61" s="120" t="s">
        <v>306</v>
      </c>
      <c r="K61" s="120"/>
      <c r="L61" s="120"/>
      <c r="M61" s="120"/>
      <c r="N61" s="120"/>
      <c r="O61" s="120"/>
    </row>
    <row r="62" spans="2:15" x14ac:dyDescent="0.2"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</row>
    <row r="63" spans="2:15" x14ac:dyDescent="0.2">
      <c r="D63" s="120"/>
      <c r="E63" s="120"/>
      <c r="F63" s="120"/>
      <c r="G63" s="120"/>
      <c r="H63" s="120"/>
      <c r="I63" s="120"/>
      <c r="J63" s="120" t="s">
        <v>267</v>
      </c>
      <c r="K63" s="120"/>
      <c r="L63" s="120"/>
      <c r="M63" s="120"/>
      <c r="N63" s="120"/>
      <c r="O63" s="120"/>
    </row>
    <row r="64" spans="2:15" ht="16" thickBot="1" x14ac:dyDescent="0.25">
      <c r="D64" s="120"/>
      <c r="E64" s="120"/>
      <c r="F64" s="120"/>
      <c r="G64" s="120"/>
      <c r="H64" s="120"/>
      <c r="I64" s="120"/>
      <c r="J64" s="120" t="s">
        <v>199</v>
      </c>
      <c r="K64" s="120"/>
      <c r="L64" s="120"/>
      <c r="M64" s="120"/>
      <c r="N64" s="120"/>
      <c r="O64" s="120"/>
    </row>
    <row r="65" spans="4:15" ht="16" thickBot="1" x14ac:dyDescent="0.25">
      <c r="D65" s="120"/>
      <c r="E65" s="120"/>
      <c r="F65" s="120"/>
      <c r="G65" s="120"/>
      <c r="H65" s="120"/>
      <c r="I65" s="120"/>
      <c r="J65" s="125" t="s">
        <v>268</v>
      </c>
      <c r="K65" s="148" t="s">
        <v>269</v>
      </c>
      <c r="L65" s="149" t="s">
        <v>270</v>
      </c>
      <c r="M65" s="148" t="s">
        <v>271</v>
      </c>
      <c r="N65" s="149" t="s">
        <v>307</v>
      </c>
      <c r="O65" s="120"/>
    </row>
    <row r="66" spans="4:15" x14ac:dyDescent="0.2">
      <c r="D66" s="120"/>
      <c r="E66" s="120"/>
      <c r="F66" s="120"/>
      <c r="G66" s="120"/>
      <c r="H66" s="120"/>
      <c r="I66" s="120"/>
      <c r="J66" s="115" t="s">
        <v>308</v>
      </c>
      <c r="K66" s="117" t="s">
        <v>309</v>
      </c>
      <c r="L66" s="128">
        <v>0.25</v>
      </c>
      <c r="M66" s="150">
        <v>50</v>
      </c>
      <c r="N66" s="128">
        <f>L66*$M$66</f>
        <v>12.5</v>
      </c>
      <c r="O66" s="120"/>
    </row>
    <row r="67" spans="4:15" x14ac:dyDescent="0.2">
      <c r="D67" s="120"/>
      <c r="E67" s="120"/>
      <c r="F67" s="120"/>
      <c r="G67" s="120"/>
      <c r="H67" s="120"/>
      <c r="I67" s="120"/>
      <c r="J67" s="108" t="s">
        <v>219</v>
      </c>
      <c r="K67" s="109" t="s">
        <v>276</v>
      </c>
      <c r="L67" s="131">
        <f>0.25*M14</f>
        <v>1</v>
      </c>
      <c r="M67" s="151"/>
      <c r="N67" s="131">
        <f>L67*$M$66</f>
        <v>50</v>
      </c>
      <c r="O67" s="120"/>
    </row>
    <row r="68" spans="4:15" x14ac:dyDescent="0.2">
      <c r="D68" s="120"/>
      <c r="E68" s="120"/>
      <c r="F68" s="120"/>
      <c r="G68" s="120"/>
      <c r="H68" s="120"/>
      <c r="I68" s="120"/>
      <c r="J68" s="108" t="s">
        <v>310</v>
      </c>
      <c r="K68" s="109" t="s">
        <v>311</v>
      </c>
      <c r="L68" s="131">
        <f>0.2*M18</f>
        <v>0.8</v>
      </c>
      <c r="M68" s="151"/>
      <c r="N68" s="131">
        <f>L68*$M$66</f>
        <v>40</v>
      </c>
      <c r="O68" s="120"/>
    </row>
    <row r="69" spans="4:15" ht="16" thickBot="1" x14ac:dyDescent="0.25">
      <c r="D69" s="120"/>
      <c r="E69" s="120"/>
      <c r="F69" s="120"/>
      <c r="G69" s="120"/>
      <c r="H69" s="120"/>
      <c r="I69" s="120"/>
      <c r="J69" s="110" t="s">
        <v>312</v>
      </c>
      <c r="K69" s="111" t="s">
        <v>313</v>
      </c>
      <c r="L69" s="139">
        <f>0.25</f>
        <v>0.25</v>
      </c>
      <c r="M69" s="152"/>
      <c r="N69" s="139">
        <f>L69*$M$66</f>
        <v>12.5</v>
      </c>
      <c r="O69" s="120"/>
    </row>
    <row r="70" spans="4:15" ht="16" thickBot="1" x14ac:dyDescent="0.25">
      <c r="D70" s="120"/>
      <c r="E70" s="120"/>
      <c r="F70" s="120"/>
      <c r="G70" s="120"/>
      <c r="H70" s="120"/>
      <c r="I70" s="120"/>
      <c r="J70" s="120"/>
      <c r="K70" s="120"/>
      <c r="L70" s="139">
        <f>SUM(L66:L69)</f>
        <v>2.2999999999999998</v>
      </c>
      <c r="M70" s="118" t="s">
        <v>236</v>
      </c>
      <c r="N70" s="146">
        <f>SUM(N66:N69)</f>
        <v>115</v>
      </c>
      <c r="O70" s="120"/>
    </row>
    <row r="71" spans="4:15" x14ac:dyDescent="0.2"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4:15" ht="16" thickBot="1" x14ac:dyDescent="0.25">
      <c r="D72" s="120"/>
      <c r="E72" s="120"/>
      <c r="F72" s="120"/>
      <c r="G72" s="120"/>
      <c r="H72" s="120"/>
      <c r="I72" s="120"/>
      <c r="J72" s="120" t="s">
        <v>314</v>
      </c>
      <c r="K72" s="120"/>
      <c r="L72" s="120"/>
      <c r="M72" s="120"/>
      <c r="N72" s="120"/>
      <c r="O72" s="120"/>
    </row>
    <row r="73" spans="4:15" x14ac:dyDescent="0.2">
      <c r="D73" s="120"/>
      <c r="E73" s="120"/>
      <c r="F73" s="120"/>
      <c r="G73" s="120"/>
      <c r="H73" s="120"/>
      <c r="I73" s="120"/>
      <c r="J73" s="115" t="s">
        <v>308</v>
      </c>
      <c r="K73" s="117" t="s">
        <v>309</v>
      </c>
      <c r="L73" s="128">
        <v>0.25</v>
      </c>
      <c r="M73" s="150">
        <v>50</v>
      </c>
      <c r="N73" s="128">
        <f>L73*$M$73</f>
        <v>12.5</v>
      </c>
      <c r="O73" s="120"/>
    </row>
    <row r="74" spans="4:15" x14ac:dyDescent="0.2">
      <c r="D74" s="120"/>
      <c r="E74" s="120"/>
      <c r="F74" s="120"/>
      <c r="G74" s="120"/>
      <c r="H74" s="120"/>
      <c r="I74" s="120"/>
      <c r="J74" s="108" t="s">
        <v>219</v>
      </c>
      <c r="K74" s="109" t="s">
        <v>276</v>
      </c>
      <c r="L74" s="131">
        <f>0.25*M24</f>
        <v>0.75</v>
      </c>
      <c r="M74" s="151"/>
      <c r="N74" s="131">
        <f>L74*$M$73</f>
        <v>37.5</v>
      </c>
      <c r="O74" s="120"/>
    </row>
    <row r="75" spans="4:15" x14ac:dyDescent="0.2">
      <c r="D75" s="120"/>
      <c r="E75" s="120"/>
      <c r="F75" s="120"/>
      <c r="G75" s="120"/>
      <c r="H75" s="120"/>
      <c r="I75" s="120"/>
      <c r="J75" s="108" t="s">
        <v>310</v>
      </c>
      <c r="K75" s="109" t="s">
        <v>311</v>
      </c>
      <c r="L75" s="131">
        <f>0.2*M24</f>
        <v>0.60000000000000009</v>
      </c>
      <c r="M75" s="151"/>
      <c r="N75" s="131">
        <f>L75*$M$73</f>
        <v>30.000000000000004</v>
      </c>
      <c r="O75" s="120"/>
    </row>
    <row r="76" spans="4:15" x14ac:dyDescent="0.2">
      <c r="D76" s="120"/>
      <c r="E76" s="120"/>
      <c r="F76" s="120"/>
      <c r="G76" s="120"/>
      <c r="H76" s="120"/>
      <c r="I76" s="120"/>
      <c r="J76" s="108" t="s">
        <v>312</v>
      </c>
      <c r="K76" s="109" t="s">
        <v>313</v>
      </c>
      <c r="L76" s="131">
        <f>0.25</f>
        <v>0.25</v>
      </c>
      <c r="M76" s="151"/>
      <c r="N76" s="131">
        <f>L76*$M$73</f>
        <v>12.5</v>
      </c>
      <c r="O76" s="120"/>
    </row>
    <row r="77" spans="4:15" ht="16" thickBot="1" x14ac:dyDescent="0.25">
      <c r="D77" s="120"/>
      <c r="E77" s="120"/>
      <c r="F77" s="120"/>
      <c r="G77" s="120"/>
      <c r="H77" s="120"/>
      <c r="I77" s="120"/>
      <c r="J77" s="110" t="s">
        <v>315</v>
      </c>
      <c r="K77" s="111" t="s">
        <v>316</v>
      </c>
      <c r="L77" s="139">
        <v>0.5</v>
      </c>
      <c r="M77" s="152"/>
      <c r="N77" s="139">
        <f>L77*$M$73</f>
        <v>25</v>
      </c>
      <c r="O77" s="120"/>
    </row>
    <row r="78" spans="4:15" ht="16" thickBot="1" x14ac:dyDescent="0.25">
      <c r="D78" s="120"/>
      <c r="E78" s="120"/>
      <c r="F78" s="120"/>
      <c r="G78" s="120"/>
      <c r="H78" s="120"/>
      <c r="I78" s="120"/>
      <c r="J78" s="120"/>
      <c r="K78" s="120"/>
      <c r="L78" s="139">
        <f>SUM(L73:L77)</f>
        <v>2.35</v>
      </c>
      <c r="M78" s="140" t="s">
        <v>236</v>
      </c>
      <c r="N78" s="139">
        <f>SUM(N73:N77)</f>
        <v>117.5</v>
      </c>
      <c r="O78" s="120"/>
    </row>
    <row r="79" spans="4:15" x14ac:dyDescent="0.2"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4:15" x14ac:dyDescent="0.2"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</row>
    <row r="81" spans="4:15" x14ac:dyDescent="0.2"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</row>
    <row r="82" spans="4:15" x14ac:dyDescent="0.2"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</row>
    <row r="83" spans="4:15" x14ac:dyDescent="0.2"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</row>
    <row r="84" spans="4:15" x14ac:dyDescent="0.2"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</row>
    <row r="85" spans="4:15" x14ac:dyDescent="0.2"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</row>
    <row r="86" spans="4:15" x14ac:dyDescent="0.2"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</row>
    <row r="87" spans="4:15" x14ac:dyDescent="0.2"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</row>
    <row r="88" spans="4:15" x14ac:dyDescent="0.2"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</row>
    <row r="89" spans="4:15" x14ac:dyDescent="0.2"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</row>
    <row r="90" spans="4:15" x14ac:dyDescent="0.2"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</row>
    <row r="91" spans="4:15" x14ac:dyDescent="0.2"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</row>
    <row r="92" spans="4:15" x14ac:dyDescent="0.2"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</row>
    <row r="93" spans="4:15" x14ac:dyDescent="0.2"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</row>
    <row r="94" spans="4:15" x14ac:dyDescent="0.2"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</row>
    <row r="95" spans="4:15" x14ac:dyDescent="0.2"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</row>
    <row r="96" spans="4:15" x14ac:dyDescent="0.2"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</row>
    <row r="97" spans="4:15" x14ac:dyDescent="0.2"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</row>
    <row r="98" spans="4:15" x14ac:dyDescent="0.2"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</row>
    <row r="99" spans="4:15" x14ac:dyDescent="0.2"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4:15" x14ac:dyDescent="0.2"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</row>
    <row r="101" spans="4:15" x14ac:dyDescent="0.2"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</row>
    <row r="102" spans="4:15" x14ac:dyDescent="0.2"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</row>
    <row r="103" spans="4:15" x14ac:dyDescent="0.2"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</row>
    <row r="104" spans="4:15" x14ac:dyDescent="0.2"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</row>
    <row r="105" spans="4:15" x14ac:dyDescent="0.2"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</row>
    <row r="106" spans="4:15" x14ac:dyDescent="0.2"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</row>
    <row r="107" spans="4:15" x14ac:dyDescent="0.2"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</row>
    <row r="108" spans="4:15" x14ac:dyDescent="0.2"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</row>
    <row r="109" spans="4:15" x14ac:dyDescent="0.2"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</row>
    <row r="110" spans="4:15" x14ac:dyDescent="0.2"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</row>
    <row r="111" spans="4:15" x14ac:dyDescent="0.2"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12" spans="4:15" x14ac:dyDescent="0.2"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4:15" x14ac:dyDescent="0.2"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4:15" x14ac:dyDescent="0.2"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4:15" x14ac:dyDescent="0.2"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</row>
    <row r="116" spans="4:15" x14ac:dyDescent="0.2"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4:15" x14ac:dyDescent="0.2"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4:15" x14ac:dyDescent="0.2"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</row>
    <row r="119" spans="4:15" x14ac:dyDescent="0.2"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</row>
    <row r="120" spans="4:15" x14ac:dyDescent="0.2"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</row>
    <row r="121" spans="4:15" x14ac:dyDescent="0.2"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4:15" x14ac:dyDescent="0.2"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4:15" x14ac:dyDescent="0.2"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4:15" x14ac:dyDescent="0.2"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4:15" x14ac:dyDescent="0.2"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4:15" x14ac:dyDescent="0.2"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4:15" x14ac:dyDescent="0.2"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4:15" x14ac:dyDescent="0.2"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4:15" x14ac:dyDescent="0.2"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4:15" x14ac:dyDescent="0.2"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4:15" x14ac:dyDescent="0.2"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4:15" x14ac:dyDescent="0.2"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4:15" x14ac:dyDescent="0.2"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4:15" x14ac:dyDescent="0.2"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4:15" x14ac:dyDescent="0.2"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</sheetData>
  <mergeCells count="3">
    <mergeCell ref="K5:K7"/>
    <mergeCell ref="E45:E49"/>
    <mergeCell ref="E52:E5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workbookViewId="0">
      <selection activeCell="G27" sqref="G27"/>
    </sheetView>
  </sheetViews>
  <sheetFormatPr baseColWidth="10" defaultColWidth="8.83203125" defaultRowHeight="15" x14ac:dyDescent="0.2"/>
  <cols>
    <col min="2" max="2" width="40.33203125" customWidth="1"/>
    <col min="3" max="3" width="14.6640625" customWidth="1"/>
    <col min="7" max="7" width="15.6640625" customWidth="1"/>
    <col min="8" max="8" width="24.5" customWidth="1"/>
    <col min="9" max="9" width="18" bestFit="1" customWidth="1"/>
    <col min="10" max="10" width="13.83203125" bestFit="1" customWidth="1"/>
    <col min="11" max="11" width="8.5" bestFit="1" customWidth="1"/>
    <col min="12" max="12" width="11.1640625" bestFit="1" customWidth="1"/>
    <col min="13" max="13" width="8.5" bestFit="1" customWidth="1"/>
  </cols>
  <sheetData>
    <row r="2" spans="1:16" ht="16" thickBo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22" thickBot="1" x14ac:dyDescent="0.3">
      <c r="A3" s="120"/>
      <c r="B3" s="192" t="s">
        <v>324</v>
      </c>
      <c r="C3" s="154" t="s">
        <v>186</v>
      </c>
      <c r="D3" s="155">
        <f>CEILING([1]Maksumus!E3,1000)</f>
        <v>35000</v>
      </c>
      <c r="E3" s="156" t="s">
        <v>187</v>
      </c>
      <c r="F3" s="153"/>
      <c r="G3" s="120"/>
      <c r="H3" s="192" t="s">
        <v>330</v>
      </c>
      <c r="I3" s="153"/>
      <c r="J3" s="154" t="s">
        <v>186</v>
      </c>
      <c r="K3" s="155">
        <f>SUM(L5:L8)</f>
        <v>43100</v>
      </c>
      <c r="L3" s="156" t="s">
        <v>187</v>
      </c>
      <c r="M3" s="120"/>
      <c r="N3" s="120"/>
      <c r="O3" s="120"/>
      <c r="P3" s="120"/>
    </row>
    <row r="4" spans="1:16" ht="16" thickBot="1" x14ac:dyDescent="0.25">
      <c r="A4" s="120"/>
      <c r="B4" s="157" t="s">
        <v>188</v>
      </c>
      <c r="C4" s="157" t="s">
        <v>317</v>
      </c>
      <c r="D4" s="158" t="s">
        <v>195</v>
      </c>
      <c r="E4" s="158" t="s">
        <v>307</v>
      </c>
      <c r="F4" s="153"/>
      <c r="G4" s="120"/>
      <c r="H4" s="159" t="s">
        <v>193</v>
      </c>
      <c r="I4" s="160" t="s">
        <v>194</v>
      </c>
      <c r="J4" s="157" t="s">
        <v>190</v>
      </c>
      <c r="K4" s="161" t="s">
        <v>195</v>
      </c>
      <c r="L4" s="162" t="s">
        <v>192</v>
      </c>
      <c r="M4" s="101" t="s">
        <v>196</v>
      </c>
      <c r="N4" s="120"/>
      <c r="O4" s="120"/>
      <c r="P4" s="120"/>
    </row>
    <row r="5" spans="1:16" x14ac:dyDescent="0.2">
      <c r="A5" s="120"/>
      <c r="B5" s="163" t="s">
        <v>318</v>
      </c>
      <c r="C5" s="164">
        <f>CEILING(EK_kululoend!D22,10)</f>
        <v>430</v>
      </c>
      <c r="D5" s="165">
        <f>[1]Maksumus!E22</f>
        <v>75</v>
      </c>
      <c r="E5" s="166">
        <f>C5*D5</f>
        <v>32250</v>
      </c>
      <c r="F5" s="153"/>
      <c r="G5" s="120"/>
      <c r="H5" s="167" t="s">
        <v>199</v>
      </c>
      <c r="I5" s="168" t="s">
        <v>200</v>
      </c>
      <c r="J5" s="169">
        <f>CEILING(EK_kululoend!L5,100)</f>
        <v>1100</v>
      </c>
      <c r="K5" s="170">
        <f>11+3+1</f>
        <v>15</v>
      </c>
      <c r="L5" s="171">
        <f>J5*K5</f>
        <v>16500</v>
      </c>
      <c r="M5" s="131">
        <f>[1]Maksumus!L70*K5</f>
        <v>34.5</v>
      </c>
      <c r="N5" s="120"/>
      <c r="O5" s="120"/>
      <c r="P5" s="120"/>
    </row>
    <row r="6" spans="1:16" ht="16" thickBot="1" x14ac:dyDescent="0.25">
      <c r="A6" s="120"/>
      <c r="B6" s="172" t="s">
        <v>319</v>
      </c>
      <c r="C6" s="173">
        <v>2750</v>
      </c>
      <c r="D6" s="174">
        <v>1</v>
      </c>
      <c r="E6" s="175">
        <f>C6*D6</f>
        <v>2750</v>
      </c>
      <c r="F6" s="153"/>
      <c r="G6" s="120"/>
      <c r="H6" s="167" t="s">
        <v>203</v>
      </c>
      <c r="I6" s="168"/>
      <c r="J6" s="169">
        <f>CEILING(EK_kululoend!L6,100)</f>
        <v>1800</v>
      </c>
      <c r="K6" s="170">
        <f>8+2</f>
        <v>10</v>
      </c>
      <c r="L6" s="171">
        <f t="shared" ref="L6:L8" si="0">J6*K6</f>
        <v>18000</v>
      </c>
      <c r="M6" s="131">
        <f>[1]Maksumus!L78*K6</f>
        <v>23.5</v>
      </c>
      <c r="N6" s="120"/>
      <c r="O6" s="120"/>
      <c r="P6" s="120"/>
    </row>
    <row r="7" spans="1:16" ht="16" thickBot="1" x14ac:dyDescent="0.25">
      <c r="A7" s="120"/>
      <c r="B7" s="154" t="s">
        <v>320</v>
      </c>
      <c r="C7" s="184">
        <v>65.5</v>
      </c>
      <c r="D7" s="176">
        <f>EK_kululoend!G60</f>
        <v>150</v>
      </c>
      <c r="E7" s="177">
        <f>C7*D7</f>
        <v>9825</v>
      </c>
      <c r="F7" s="153"/>
      <c r="G7" s="120"/>
      <c r="H7" s="167" t="s">
        <v>206</v>
      </c>
      <c r="I7" s="168"/>
      <c r="J7" s="169">
        <f>CEILING(EK_kululoend!L7,100)</f>
        <v>2000</v>
      </c>
      <c r="K7" s="170">
        <v>4</v>
      </c>
      <c r="L7" s="171">
        <f t="shared" si="0"/>
        <v>8000</v>
      </c>
      <c r="M7" s="131">
        <f>[1]Maksumus!L78*K7</f>
        <v>9.4</v>
      </c>
      <c r="N7" s="120"/>
      <c r="O7" s="120"/>
      <c r="P7" s="120"/>
    </row>
    <row r="8" spans="1:16" ht="16" thickBot="1" x14ac:dyDescent="0.25">
      <c r="A8" s="120"/>
      <c r="B8" s="154" t="s">
        <v>328</v>
      </c>
      <c r="C8" s="182"/>
      <c r="D8" s="182"/>
      <c r="E8" s="183">
        <v>400</v>
      </c>
      <c r="F8" s="153"/>
      <c r="G8" s="120"/>
      <c r="H8" s="167" t="s">
        <v>209</v>
      </c>
      <c r="I8" s="179" t="s">
        <v>210</v>
      </c>
      <c r="J8" s="169">
        <f>CEILING(EK_kululoend!L8,100)</f>
        <v>600</v>
      </c>
      <c r="K8" s="170">
        <v>1</v>
      </c>
      <c r="L8" s="171">
        <f t="shared" si="0"/>
        <v>600</v>
      </c>
      <c r="M8" s="137" t="s">
        <v>23</v>
      </c>
      <c r="N8" s="120"/>
      <c r="O8" s="120"/>
      <c r="P8" s="120"/>
    </row>
    <row r="9" spans="1:16" ht="16" thickBot="1" x14ac:dyDescent="0.25">
      <c r="A9" s="120"/>
      <c r="B9" s="120"/>
      <c r="C9" s="120"/>
      <c r="D9" s="186" t="s">
        <v>329</v>
      </c>
      <c r="E9" s="188">
        <f>SUM(E5:E8)</f>
        <v>45225</v>
      </c>
      <c r="F9" s="120"/>
      <c r="G9" s="120"/>
      <c r="H9" s="154" t="s">
        <v>327</v>
      </c>
      <c r="I9" s="143"/>
      <c r="J9" s="143"/>
      <c r="K9" s="143"/>
      <c r="L9" s="180">
        <f>M9*65.5</f>
        <v>4414.7000000000007</v>
      </c>
      <c r="M9" s="189">
        <f>SUM(M5:M7)</f>
        <v>67.400000000000006</v>
      </c>
      <c r="N9" s="120"/>
      <c r="O9" s="120"/>
      <c r="P9" s="120"/>
    </row>
    <row r="10" spans="1:16" ht="16" thickBot="1" x14ac:dyDescent="0.25">
      <c r="A10" s="120"/>
      <c r="B10" s="120"/>
      <c r="C10" s="120"/>
      <c r="D10" s="120"/>
      <c r="E10" s="120"/>
      <c r="F10" s="120"/>
      <c r="G10" s="120"/>
      <c r="H10" s="154" t="s">
        <v>328</v>
      </c>
      <c r="I10" s="143"/>
      <c r="J10" s="143"/>
      <c r="K10" s="143"/>
      <c r="L10" s="180">
        <v>400</v>
      </c>
      <c r="M10" s="181"/>
      <c r="N10" s="120"/>
      <c r="O10" s="120"/>
      <c r="P10" s="120"/>
    </row>
    <row r="11" spans="1:16" x14ac:dyDescent="0.2">
      <c r="A11" s="120"/>
      <c r="B11" s="120"/>
      <c r="C11" s="120"/>
      <c r="D11" s="120"/>
      <c r="E11" s="120"/>
      <c r="F11" s="120"/>
      <c r="G11" s="120"/>
      <c r="H11" s="170"/>
      <c r="I11" s="109"/>
      <c r="J11" s="109"/>
      <c r="K11" s="185" t="s">
        <v>329</v>
      </c>
      <c r="L11" s="187">
        <f>SUM(L5:L10)</f>
        <v>47914.7</v>
      </c>
      <c r="M11" s="178"/>
      <c r="N11" s="120"/>
      <c r="O11" s="120"/>
      <c r="P11" s="120"/>
    </row>
    <row r="12" spans="1:16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78"/>
      <c r="N12" s="120"/>
      <c r="O12" s="120"/>
      <c r="P12" s="120"/>
    </row>
    <row r="13" spans="1:16" x14ac:dyDescent="0.2">
      <c r="A13" s="120"/>
      <c r="B13" s="120"/>
      <c r="C13" s="120"/>
      <c r="D13" s="120"/>
      <c r="E13" s="120"/>
      <c r="F13" s="120"/>
      <c r="G13" s="120"/>
      <c r="H13" s="109" t="s">
        <v>214</v>
      </c>
      <c r="I13" s="120"/>
      <c r="J13" s="120"/>
      <c r="K13" s="120"/>
      <c r="L13" s="120"/>
      <c r="M13" s="120"/>
      <c r="N13" s="120"/>
      <c r="O13" s="120"/>
      <c r="P13" s="120"/>
    </row>
    <row r="14" spans="1:16" x14ac:dyDescent="0.2">
      <c r="A14" s="120"/>
      <c r="B14" s="120"/>
      <c r="C14" s="120"/>
      <c r="D14" s="120"/>
      <c r="E14" s="120"/>
      <c r="F14" s="120"/>
      <c r="G14" s="120"/>
      <c r="H14" s="120" t="s">
        <v>321</v>
      </c>
      <c r="I14" s="120"/>
      <c r="J14" s="120"/>
      <c r="K14" s="120"/>
      <c r="L14" s="120"/>
      <c r="M14" s="120"/>
      <c r="N14" s="120"/>
      <c r="O14" s="120"/>
      <c r="P14" s="120"/>
    </row>
    <row r="15" spans="1:16" x14ac:dyDescent="0.2">
      <c r="A15" s="120"/>
      <c r="B15" s="120"/>
      <c r="C15" s="120"/>
      <c r="D15" s="120"/>
      <c r="E15" s="120"/>
      <c r="F15" s="120"/>
      <c r="G15" s="120"/>
      <c r="H15" s="120" t="s">
        <v>322</v>
      </c>
      <c r="I15" s="120"/>
      <c r="J15" s="120"/>
      <c r="K15" s="120"/>
      <c r="L15" s="120"/>
      <c r="M15" s="120"/>
      <c r="N15" s="120"/>
      <c r="O15" s="120"/>
      <c r="P15" s="120"/>
    </row>
    <row r="16" spans="1:16" x14ac:dyDescent="0.2">
      <c r="A16" s="120"/>
      <c r="B16" s="120"/>
      <c r="C16" s="120"/>
      <c r="D16" s="120"/>
      <c r="E16" s="120"/>
      <c r="F16" s="120"/>
      <c r="G16" s="120"/>
      <c r="H16" s="120" t="s">
        <v>323</v>
      </c>
      <c r="I16" s="120"/>
      <c r="J16" s="120"/>
      <c r="K16" s="120"/>
      <c r="L16" s="120"/>
      <c r="M16" s="120"/>
      <c r="N16" s="120"/>
      <c r="O16" s="120"/>
      <c r="P16" s="120"/>
    </row>
    <row r="17" spans="1:16" x14ac:dyDescent="0.2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x14ac:dyDescent="0.2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</row>
    <row r="19" spans="1:16" x14ac:dyDescent="0.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</row>
    <row r="20" spans="1:16" x14ac:dyDescent="0.2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1:16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16" x14ac:dyDescent="0.2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6" x14ac:dyDescent="0.2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1:16" x14ac:dyDescent="0.2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1:16" x14ac:dyDescent="0.2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</row>
    <row r="26" spans="1:16" x14ac:dyDescent="0.2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x14ac:dyDescent="0.2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Koond (sh EK)</vt:lpstr>
      <vt:lpstr>EK_kululoend</vt:lpstr>
      <vt:lpstr>EK_kokkuvõte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2015-12-15T10:56:24Z</cp:lastPrinted>
  <dcterms:created xsi:type="dcterms:W3CDTF">2015-12-15T08:26:18Z</dcterms:created>
  <dcterms:modified xsi:type="dcterms:W3CDTF">2017-12-04T16:27:32Z</dcterms:modified>
</cp:coreProperties>
</file>